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.ORÇAMENTÁRIA" sheetId="6" r:id="rId1"/>
    <sheet name="M. CÁLCULO" sheetId="5" r:id="rId2"/>
    <sheet name="CRONOGRAMA" sheetId="2" r:id="rId3"/>
  </sheets>
  <definedNames>
    <definedName name="_xlnm.Print_Area" localSheetId="2">CRONOGRAMA!$A$1:$M$32</definedName>
    <definedName name="_xlnm.Print_Area" localSheetId="1">'M. CÁLCULO'!$A$1:$H$162</definedName>
    <definedName name="_xlnm.Print_Area" localSheetId="0">P.ORÇAMENTÁRIA!$A$1:$I$99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6" l="1"/>
  <c r="F91" i="6"/>
  <c r="F90" i="6"/>
  <c r="F78" i="6"/>
  <c r="F77" i="6"/>
  <c r="F76" i="6"/>
  <c r="F75" i="6"/>
  <c r="F73" i="6"/>
  <c r="F72" i="6"/>
  <c r="F71" i="6"/>
  <c r="F70" i="6"/>
  <c r="F69" i="6"/>
  <c r="F68" i="6"/>
  <c r="F67" i="6"/>
  <c r="F64" i="6"/>
  <c r="F62" i="6"/>
  <c r="F61" i="6"/>
  <c r="F60" i="6"/>
  <c r="F59" i="6"/>
  <c r="F58" i="6"/>
  <c r="F57" i="6"/>
  <c r="F56" i="6"/>
  <c r="F55" i="6"/>
  <c r="F52" i="6"/>
  <c r="F51" i="6"/>
  <c r="F50" i="6"/>
  <c r="F49" i="6"/>
  <c r="F48" i="6"/>
  <c r="F47" i="6"/>
  <c r="F46" i="6"/>
  <c r="F45" i="6"/>
  <c r="F44" i="6"/>
  <c r="F41" i="6"/>
  <c r="F40" i="6"/>
  <c r="F39" i="6"/>
  <c r="F38" i="6"/>
  <c r="F35" i="6"/>
  <c r="F34" i="6"/>
  <c r="F33" i="6"/>
  <c r="F31" i="6"/>
  <c r="F30" i="6"/>
  <c r="F29" i="6"/>
  <c r="F28" i="6"/>
  <c r="F26" i="6"/>
  <c r="F24" i="6"/>
  <c r="F23" i="6"/>
  <c r="F22" i="6"/>
  <c r="F21" i="6"/>
  <c r="F19" i="6"/>
  <c r="F18" i="6"/>
  <c r="F17" i="6"/>
  <c r="F16" i="6"/>
  <c r="F14" i="6"/>
  <c r="F13" i="6"/>
  <c r="F12" i="6"/>
  <c r="D154" i="5" l="1"/>
  <c r="D140" i="5"/>
  <c r="D136" i="5"/>
  <c r="H136" i="5" s="1"/>
  <c r="K68" i="6"/>
  <c r="K69" i="6"/>
  <c r="D132" i="5"/>
  <c r="D133" i="5" s="1"/>
  <c r="D130" i="5"/>
  <c r="D131" i="5" s="1"/>
  <c r="H131" i="5" s="1"/>
  <c r="F80" i="6"/>
  <c r="H154" i="5"/>
  <c r="H155" i="5"/>
  <c r="H129" i="5"/>
  <c r="F66" i="6" s="1"/>
  <c r="H130" i="5"/>
  <c r="H132" i="5"/>
  <c r="H137" i="5"/>
  <c r="F74" i="6" s="1"/>
  <c r="H138" i="5"/>
  <c r="H139" i="5"/>
  <c r="H140" i="5"/>
  <c r="H141" i="5"/>
  <c r="H142" i="5"/>
  <c r="F79" i="6" s="1"/>
  <c r="H143" i="5"/>
  <c r="H144" i="5"/>
  <c r="F81" i="6" s="1"/>
  <c r="H145" i="5"/>
  <c r="F82" i="6" s="1"/>
  <c r="H146" i="5"/>
  <c r="F83" i="6" s="1"/>
  <c r="H147" i="5"/>
  <c r="F84" i="6" s="1"/>
  <c r="H148" i="5"/>
  <c r="F85" i="6" s="1"/>
  <c r="H149" i="5"/>
  <c r="F86" i="6" s="1"/>
  <c r="H150" i="5"/>
  <c r="F87" i="6" s="1"/>
  <c r="H151" i="5"/>
  <c r="F88" i="6" s="1"/>
  <c r="H152" i="5"/>
  <c r="F89" i="6" s="1"/>
  <c r="H153" i="5"/>
  <c r="H128" i="5"/>
  <c r="F65" i="6" s="1"/>
  <c r="D134" i="5" l="1"/>
  <c r="H133" i="5"/>
  <c r="K86" i="6"/>
  <c r="G86" i="6" s="1"/>
  <c r="H86" i="6" s="1"/>
  <c r="K87" i="6"/>
  <c r="G87" i="6" s="1"/>
  <c r="H87" i="6" s="1"/>
  <c r="K88" i="6"/>
  <c r="G88" i="6" s="1"/>
  <c r="H88" i="6" s="1"/>
  <c r="K89" i="6"/>
  <c r="G89" i="6" s="1"/>
  <c r="H89" i="6" s="1"/>
  <c r="K90" i="6"/>
  <c r="G90" i="6" s="1"/>
  <c r="H90" i="6" s="1"/>
  <c r="K91" i="6"/>
  <c r="G91" i="6" s="1"/>
  <c r="H91" i="6" s="1"/>
  <c r="K92" i="6"/>
  <c r="G92" i="6" s="1"/>
  <c r="H92" i="6" s="1"/>
  <c r="K73" i="6"/>
  <c r="G73" i="6" s="1"/>
  <c r="H73" i="6" s="1"/>
  <c r="K82" i="6"/>
  <c r="K83" i="6"/>
  <c r="G83" i="6" s="1"/>
  <c r="H83" i="6" s="1"/>
  <c r="K84" i="6"/>
  <c r="G84" i="6" s="1"/>
  <c r="H84" i="6" s="1"/>
  <c r="K85" i="6"/>
  <c r="G85" i="6" s="1"/>
  <c r="H85" i="6" s="1"/>
  <c r="G82" i="6"/>
  <c r="H82" i="6" s="1"/>
  <c r="K65" i="6"/>
  <c r="G65" i="6" s="1"/>
  <c r="H65" i="6" s="1"/>
  <c r="K66" i="6"/>
  <c r="G66" i="6" s="1"/>
  <c r="H66" i="6" s="1"/>
  <c r="K67" i="6"/>
  <c r="G67" i="6" s="1"/>
  <c r="H67" i="6" s="1"/>
  <c r="G68" i="6"/>
  <c r="H68" i="6" s="1"/>
  <c r="G69" i="6"/>
  <c r="H69" i="6" s="1"/>
  <c r="K70" i="6"/>
  <c r="G70" i="6" s="1"/>
  <c r="H70" i="6" s="1"/>
  <c r="K71" i="6"/>
  <c r="G71" i="6" s="1"/>
  <c r="H71" i="6" s="1"/>
  <c r="K72" i="6"/>
  <c r="G72" i="6" s="1"/>
  <c r="H72" i="6" s="1"/>
  <c r="K74" i="6"/>
  <c r="G74" i="6" s="1"/>
  <c r="H74" i="6" s="1"/>
  <c r="K75" i="6"/>
  <c r="G75" i="6" s="1"/>
  <c r="H75" i="6" s="1"/>
  <c r="K76" i="6"/>
  <c r="G76" i="6" s="1"/>
  <c r="H76" i="6" s="1"/>
  <c r="K77" i="6"/>
  <c r="G77" i="6" s="1"/>
  <c r="H77" i="6" s="1"/>
  <c r="K78" i="6"/>
  <c r="K79" i="6"/>
  <c r="K80" i="6"/>
  <c r="G80" i="6" s="1"/>
  <c r="H80" i="6" s="1"/>
  <c r="K81" i="6"/>
  <c r="G81" i="6" s="1"/>
  <c r="H81" i="6" s="1"/>
  <c r="G78" i="6"/>
  <c r="H78" i="6" s="1"/>
  <c r="G79" i="6"/>
  <c r="H79" i="6" s="1"/>
  <c r="F124" i="5"/>
  <c r="H124" i="5" s="1"/>
  <c r="E119" i="5"/>
  <c r="H119" i="5" s="1"/>
  <c r="H120" i="5"/>
  <c r="K58" i="6"/>
  <c r="G58" i="6" s="1"/>
  <c r="H58" i="6" s="1"/>
  <c r="K59" i="6"/>
  <c r="G59" i="6" s="1"/>
  <c r="H59" i="6" s="1"/>
  <c r="K60" i="6"/>
  <c r="G60" i="6" s="1"/>
  <c r="H60" i="6" s="1"/>
  <c r="K61" i="6"/>
  <c r="G61" i="6" s="1"/>
  <c r="H61" i="6" s="1"/>
  <c r="H117" i="5"/>
  <c r="H123" i="5" s="1"/>
  <c r="H116" i="5"/>
  <c r="H122" i="5" s="1"/>
  <c r="H114" i="5"/>
  <c r="H113" i="5"/>
  <c r="H115" i="5" s="1"/>
  <c r="H111" i="5"/>
  <c r="H110" i="5"/>
  <c r="H96" i="5"/>
  <c r="G81" i="5"/>
  <c r="H77" i="5"/>
  <c r="G75" i="5"/>
  <c r="H75" i="5" s="1"/>
  <c r="G74" i="5"/>
  <c r="F64" i="5"/>
  <c r="F63" i="5"/>
  <c r="G62" i="5"/>
  <c r="H62" i="5" s="1"/>
  <c r="G56" i="5"/>
  <c r="H56" i="5" s="1"/>
  <c r="G51" i="5"/>
  <c r="H50" i="5"/>
  <c r="H44" i="5"/>
  <c r="G45" i="5"/>
  <c r="F43" i="5"/>
  <c r="F38" i="5"/>
  <c r="D11" i="5"/>
  <c r="H126" i="5" l="1"/>
  <c r="F63" i="6" s="1"/>
  <c r="H125" i="5"/>
  <c r="H127" i="5"/>
  <c r="H134" i="5"/>
  <c r="D135" i="5"/>
  <c r="H135" i="5" s="1"/>
  <c r="H112" i="5"/>
  <c r="H121" i="5"/>
  <c r="H118" i="5"/>
  <c r="K55" i="6"/>
  <c r="G55" i="6" s="1"/>
  <c r="H55" i="6" s="1"/>
  <c r="K56" i="6"/>
  <c r="G56" i="6" s="1"/>
  <c r="H56" i="6" s="1"/>
  <c r="K57" i="6"/>
  <c r="G57" i="6" s="1"/>
  <c r="H57" i="6" s="1"/>
  <c r="K62" i="6"/>
  <c r="G62" i="6" s="1"/>
  <c r="H62" i="6" s="1"/>
  <c r="K63" i="6"/>
  <c r="G63" i="6" s="1"/>
  <c r="H63" i="6" s="1"/>
  <c r="K64" i="6"/>
  <c r="G64" i="6" s="1"/>
  <c r="H64" i="6" s="1"/>
  <c r="K12" i="6" l="1"/>
  <c r="K13" i="6"/>
  <c r="K14" i="6"/>
  <c r="K16" i="6"/>
  <c r="K17" i="6"/>
  <c r="K18" i="6"/>
  <c r="K19" i="6"/>
  <c r="K21" i="6"/>
  <c r="K22" i="6"/>
  <c r="K23" i="6"/>
  <c r="K24" i="6"/>
  <c r="K26" i="6"/>
  <c r="K28" i="6"/>
  <c r="K29" i="6"/>
  <c r="K30" i="6"/>
  <c r="K31" i="6"/>
  <c r="K33" i="6"/>
  <c r="K34" i="6"/>
  <c r="K35" i="6"/>
  <c r="K38" i="6"/>
  <c r="K39" i="6"/>
  <c r="K40" i="6"/>
  <c r="K41" i="6"/>
  <c r="K44" i="6"/>
  <c r="K45" i="6"/>
  <c r="K46" i="6"/>
  <c r="K47" i="6"/>
  <c r="K48" i="6"/>
  <c r="K49" i="6"/>
  <c r="K50" i="6"/>
  <c r="K51" i="6"/>
  <c r="K52" i="6"/>
  <c r="K8" i="6"/>
  <c r="H93" i="6" l="1"/>
  <c r="C20" i="2" s="1"/>
  <c r="H22" i="2" s="1"/>
  <c r="H78" i="5"/>
  <c r="H71" i="5"/>
  <c r="G65" i="5"/>
  <c r="H65" i="5" s="1"/>
  <c r="G59" i="5"/>
  <c r="H59" i="5" s="1"/>
  <c r="H53" i="5"/>
  <c r="H47" i="5"/>
  <c r="G40" i="5"/>
  <c r="H40" i="5" s="1"/>
  <c r="G35" i="5"/>
  <c r="H35" i="5" s="1"/>
  <c r="H29" i="5"/>
  <c r="H22" i="5"/>
  <c r="H108" i="5"/>
  <c r="H107" i="5"/>
  <c r="H106" i="5"/>
  <c r="H105" i="5"/>
  <c r="H104" i="5"/>
  <c r="E102" i="5"/>
  <c r="H102" i="5" s="1"/>
  <c r="H101" i="5"/>
  <c r="H100" i="5"/>
  <c r="G46" i="6"/>
  <c r="H46" i="6" s="1"/>
  <c r="G47" i="6"/>
  <c r="H47" i="6" s="1"/>
  <c r="G48" i="6"/>
  <c r="H48" i="6" s="1"/>
  <c r="G49" i="6"/>
  <c r="H49" i="6" s="1"/>
  <c r="G50" i="6"/>
  <c r="H50" i="6" s="1"/>
  <c r="G44" i="6"/>
  <c r="H44" i="6" s="1"/>
  <c r="G51" i="6"/>
  <c r="H51" i="6" s="1"/>
  <c r="G52" i="6"/>
  <c r="H52" i="6" s="1"/>
  <c r="G45" i="6"/>
  <c r="H45" i="6" s="1"/>
  <c r="G35" i="6"/>
  <c r="H35" i="6" s="1"/>
  <c r="H86" i="5"/>
  <c r="H103" i="5" l="1"/>
  <c r="H76" i="5"/>
  <c r="H70" i="5"/>
  <c r="H53" i="6" l="1"/>
  <c r="H93" i="5"/>
  <c r="H81" i="5"/>
  <c r="H74" i="5"/>
  <c r="H79" i="5" s="1"/>
  <c r="K22" i="2" l="1"/>
  <c r="C17" i="2"/>
  <c r="E19" i="2" s="1"/>
  <c r="H82" i="5"/>
  <c r="H80" i="5"/>
  <c r="H95" i="5"/>
  <c r="H97" i="5" s="1"/>
  <c r="H92" i="5"/>
  <c r="H94" i="5" s="1"/>
  <c r="G40" i="6"/>
  <c r="H40" i="6" s="1"/>
  <c r="G39" i="6"/>
  <c r="H39" i="6" s="1"/>
  <c r="H90" i="5"/>
  <c r="H89" i="5" l="1"/>
  <c r="H88" i="5"/>
  <c r="H84" i="5"/>
  <c r="H69" i="5"/>
  <c r="H68" i="5"/>
  <c r="G64" i="5"/>
  <c r="H64" i="5" s="1"/>
  <c r="G63" i="5"/>
  <c r="H63" i="5" s="1"/>
  <c r="G61" i="5"/>
  <c r="H61" i="5" s="1"/>
  <c r="G58" i="5"/>
  <c r="H58" i="5" s="1"/>
  <c r="G57" i="5"/>
  <c r="H57" i="5" s="1"/>
  <c r="G55" i="5"/>
  <c r="H55" i="5" s="1"/>
  <c r="H51" i="5"/>
  <c r="H52" i="5"/>
  <c r="H49" i="5"/>
  <c r="H46" i="5"/>
  <c r="H45" i="5"/>
  <c r="H43" i="5"/>
  <c r="G39" i="5"/>
  <c r="H39" i="5" s="1"/>
  <c r="G38" i="5"/>
  <c r="H38" i="5" s="1"/>
  <c r="G34" i="5"/>
  <c r="H34" i="5" s="1"/>
  <c r="G37" i="5"/>
  <c r="H37" i="5" s="1"/>
  <c r="G33" i="5"/>
  <c r="H33" i="5" s="1"/>
  <c r="G32" i="5"/>
  <c r="H32" i="5" s="1"/>
  <c r="G31" i="5"/>
  <c r="H31" i="5" s="1"/>
  <c r="H25" i="5"/>
  <c r="H26" i="5"/>
  <c r="H27" i="5"/>
  <c r="H28" i="5"/>
  <c r="H24" i="5"/>
  <c r="H21" i="5"/>
  <c r="H20" i="5"/>
  <c r="H19" i="5"/>
  <c r="H18" i="5"/>
  <c r="H14" i="5"/>
  <c r="H13" i="5"/>
  <c r="H11" i="5"/>
  <c r="H10" i="5"/>
  <c r="H6" i="5"/>
  <c r="F8" i="6" s="1"/>
  <c r="G8" i="6"/>
  <c r="G12" i="6"/>
  <c r="H12" i="6" s="1"/>
  <c r="G13" i="6"/>
  <c r="H13" i="6" s="1"/>
  <c r="G14" i="6"/>
  <c r="H14" i="6" s="1"/>
  <c r="G16" i="6"/>
  <c r="H16" i="6" s="1"/>
  <c r="G17" i="6"/>
  <c r="H17" i="6" s="1"/>
  <c r="G18" i="6"/>
  <c r="H18" i="6" s="1"/>
  <c r="G19" i="6"/>
  <c r="H19" i="6" s="1"/>
  <c r="G21" i="6"/>
  <c r="H21" i="6" s="1"/>
  <c r="G22" i="6"/>
  <c r="H22" i="6" s="1"/>
  <c r="G23" i="6"/>
  <c r="H23" i="6" s="1"/>
  <c r="G24" i="6"/>
  <c r="H24" i="6" s="1"/>
  <c r="G26" i="6"/>
  <c r="H26" i="6" s="1"/>
  <c r="G28" i="6"/>
  <c r="H28" i="6" s="1"/>
  <c r="G29" i="6"/>
  <c r="H29" i="6" s="1"/>
  <c r="G30" i="6"/>
  <c r="H30" i="6" s="1"/>
  <c r="G31" i="6"/>
  <c r="H31" i="6" s="1"/>
  <c r="G33" i="6"/>
  <c r="H33" i="6" s="1"/>
  <c r="G34" i="6"/>
  <c r="H34" i="6" s="1"/>
  <c r="G38" i="6"/>
  <c r="H38" i="6" s="1"/>
  <c r="G41" i="6"/>
  <c r="H41" i="6" s="1"/>
  <c r="H36" i="6" l="1"/>
  <c r="H66" i="5"/>
  <c r="H48" i="5"/>
  <c r="H72" i="5"/>
  <c r="H60" i="5"/>
  <c r="H36" i="5"/>
  <c r="H54" i="5"/>
  <c r="H23" i="5"/>
  <c r="H30" i="5"/>
  <c r="H41" i="5"/>
  <c r="H85" i="5"/>
  <c r="H15" i="5"/>
  <c r="H12" i="5"/>
  <c r="H91" i="5"/>
  <c r="H98" i="5" s="1"/>
  <c r="H16" i="5" l="1"/>
  <c r="C11" i="2" l="1"/>
  <c r="H13" i="2" s="1"/>
  <c r="H42" i="6"/>
  <c r="E13" i="2" l="1"/>
  <c r="C14" i="2"/>
  <c r="H16" i="2" s="1"/>
  <c r="H23" i="2" s="1"/>
  <c r="K23" i="2" l="1"/>
  <c r="H8" i="6" l="1"/>
  <c r="H9" i="6" l="1"/>
  <c r="H94" i="6" l="1"/>
  <c r="I91" i="6" s="1"/>
  <c r="C8" i="2"/>
  <c r="I62" i="6"/>
  <c r="C23" i="2"/>
  <c r="H24" i="2" s="1"/>
  <c r="I59" i="6" l="1"/>
  <c r="I78" i="6"/>
  <c r="I57" i="6"/>
  <c r="I68" i="6"/>
  <c r="I66" i="6"/>
  <c r="I64" i="6"/>
  <c r="I86" i="6"/>
  <c r="I81" i="6"/>
  <c r="I65" i="6"/>
  <c r="I69" i="6"/>
  <c r="I76" i="6"/>
  <c r="I93" i="6"/>
  <c r="I61" i="6"/>
  <c r="I72" i="6"/>
  <c r="I74" i="6"/>
  <c r="I79" i="6"/>
  <c r="I75" i="6"/>
  <c r="I87" i="6"/>
  <c r="I82" i="6"/>
  <c r="I92" i="6"/>
  <c r="I56" i="6"/>
  <c r="I58" i="6"/>
  <c r="I80" i="6"/>
  <c r="I77" i="6"/>
  <c r="I88" i="6"/>
  <c r="I89" i="6"/>
  <c r="I83" i="6"/>
  <c r="I55" i="6"/>
  <c r="I63" i="6"/>
  <c r="I60" i="6"/>
  <c r="I71" i="6"/>
  <c r="I70" i="6"/>
  <c r="I67" i="6"/>
  <c r="I84" i="6"/>
  <c r="I90" i="6"/>
  <c r="I85" i="6"/>
  <c r="I73" i="6"/>
  <c r="D20" i="2"/>
  <c r="D17" i="2"/>
  <c r="I50" i="6"/>
  <c r="I48" i="6"/>
  <c r="I47" i="6"/>
  <c r="I46" i="6"/>
  <c r="I49" i="6"/>
  <c r="I52" i="6"/>
  <c r="I35" i="6"/>
  <c r="I51" i="6"/>
  <c r="I44" i="6"/>
  <c r="I53" i="6"/>
  <c r="I45" i="6"/>
  <c r="I40" i="6"/>
  <c r="I39" i="6"/>
  <c r="I36" i="6"/>
  <c r="I42" i="6"/>
  <c r="I30" i="6"/>
  <c r="I31" i="6"/>
  <c r="I33" i="6"/>
  <c r="I34" i="6"/>
  <c r="I38" i="6"/>
  <c r="I41" i="6"/>
  <c r="I17" i="6"/>
  <c r="I21" i="6"/>
  <c r="I16" i="6"/>
  <c r="I24" i="6"/>
  <c r="I26" i="6"/>
  <c r="I19" i="6"/>
  <c r="I22" i="6"/>
  <c r="I23" i="6"/>
  <c r="I18" i="6"/>
  <c r="I12" i="6"/>
  <c r="I14" i="6"/>
  <c r="I28" i="6"/>
  <c r="I29" i="6"/>
  <c r="I13" i="6"/>
  <c r="I94" i="6"/>
  <c r="I8" i="6"/>
  <c r="I9" i="6"/>
  <c r="E10" i="2"/>
  <c r="E23" i="2" s="1"/>
  <c r="D8" i="2" l="1"/>
  <c r="K24" i="2"/>
  <c r="C24" i="2"/>
  <c r="D14" i="2"/>
  <c r="D11" i="2"/>
  <c r="E25" i="2" l="1"/>
  <c r="H25" i="2" s="1"/>
  <c r="E24" i="2"/>
  <c r="H26" i="2" l="1"/>
  <c r="K25" i="2"/>
  <c r="K26" i="2" s="1"/>
  <c r="E26" i="2"/>
</calcChain>
</file>

<file path=xl/sharedStrings.xml><?xml version="1.0" encoding="utf-8"?>
<sst xmlns="http://schemas.openxmlformats.org/spreadsheetml/2006/main" count="645" uniqueCount="192">
  <si>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</si>
  <si>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</si>
  <si>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</si>
  <si>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</si>
  <si>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</si>
  <si>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</si>
  <si>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</si>
  <si>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</si>
  <si>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</si>
  <si>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2.2</t>
  </si>
  <si>
    <t>3.1</t>
  </si>
  <si>
    <t>2.3</t>
  </si>
  <si>
    <t>3.2</t>
  </si>
  <si>
    <t>MEMORIAL DE CÁLCULO</t>
  </si>
  <si>
    <t>VALOR TOTAL:</t>
  </si>
  <si>
    <t>PLANILHA ORÇAMENTÁRIA</t>
  </si>
  <si>
    <t>3.3</t>
  </si>
  <si>
    <t>M2</t>
  </si>
  <si>
    <t>DESCRIÇÃO</t>
  </si>
  <si>
    <t>FONTE</t>
  </si>
  <si>
    <t xml:space="preserve">CÓDIGO </t>
  </si>
  <si>
    <t>P. UNITÁRIO</t>
  </si>
  <si>
    <t>P. TOTAL</t>
  </si>
  <si>
    <t>%/TOTAL</t>
  </si>
  <si>
    <t>CRONOGRAMA FÍSICO FINANCEIRO</t>
  </si>
  <si>
    <t>Placa de obra nas dimensões de 2.0 x 4.0 m, PADRÃO IOPES</t>
  </si>
  <si>
    <t>SERVIÇOS PREELIMINARES E CANTEIRO DE OBRAS</t>
  </si>
  <si>
    <t>3.4</t>
  </si>
  <si>
    <t>Chapisco de argamassa de cimento e areia média ou grossa lavada, no traço 1:3, espessura 5 mm</t>
  </si>
  <si>
    <t>SUBTOTAIS</t>
  </si>
  <si>
    <t>PRAZO DE EXECUÇÃO</t>
  </si>
  <si>
    <t>MÊS 01</t>
  </si>
  <si>
    <t>MÊS 02</t>
  </si>
  <si>
    <t>TOTAL ACUMULADO</t>
  </si>
  <si>
    <t>2.4</t>
  </si>
  <si>
    <t>2.5</t>
  </si>
  <si>
    <t>2.6</t>
  </si>
  <si>
    <t>CESAR AUGUSTO TERCIO ZAMPERLINI</t>
  </si>
  <si>
    <r>
      <t xml:space="preserve">OBRA: </t>
    </r>
    <r>
      <rPr>
        <sz val="11"/>
        <rFont val="Calibri"/>
        <family val="2"/>
        <scheme val="minor"/>
      </rPr>
      <t>CONSTRUÇÃO DE MURO E INSTALAÇÃO DE GRADES - CASA DE ACOLHIDA</t>
    </r>
  </si>
  <si>
    <r>
      <t xml:space="preserve">LOCAL: </t>
    </r>
    <r>
      <rPr>
        <sz val="11"/>
        <rFont val="Calibri"/>
        <family val="2"/>
        <scheme val="minor"/>
      </rPr>
      <t>SÃO SEBASTIÃO, RIO BANANAL/ES</t>
    </r>
  </si>
  <si>
    <t>CONSTRUÇÃO DE MURO</t>
  </si>
  <si>
    <t>SUBTOTAL 1.0:</t>
  </si>
  <si>
    <t>MOVIMENTAÇÃO DE TERRA</t>
  </si>
  <si>
    <t>Escavação manual em material de 1a. categoria, até 1.50 m de profundidade</t>
  </si>
  <si>
    <t>2.1.1</t>
  </si>
  <si>
    <t>m³</t>
  </si>
  <si>
    <t>m²</t>
  </si>
  <si>
    <t>Apiloamento do fundo de vala com maço de 30 a 60kg</t>
  </si>
  <si>
    <t>Reaterro apiloado de cavas de fundação, em camadas de 20 cm</t>
  </si>
  <si>
    <t>2.1.2</t>
  </si>
  <si>
    <t>2.1.3</t>
  </si>
  <si>
    <t>INFRAESTRUTURA</t>
  </si>
  <si>
    <r>
      <t xml:space="preserve">LS:
</t>
    </r>
    <r>
      <rPr>
        <sz val="9"/>
        <rFont val="Calibri"/>
        <family val="2"/>
        <scheme val="minor"/>
      </rPr>
      <t xml:space="preserve">157,27%(H)
</t>
    </r>
  </si>
  <si>
    <t>Fôrma de tábua de madeira de 2.5 x 30.0 cm para fundações, levando-se em conta a utilização 5 vezes (incluido o material, corte, montagem, escoramento e desforma)</t>
  </si>
  <si>
    <t>2.2.1</t>
  </si>
  <si>
    <t>2.2.2</t>
  </si>
  <si>
    <t>2.2.3</t>
  </si>
  <si>
    <t>2.2.4</t>
  </si>
  <si>
    <t>Fornecimento, preparo e aplicação de concreto Fck=20 MPa (brita 1 e 2) - (5% de perdas já incluído no custo)</t>
  </si>
  <si>
    <t>Fornecimento, dobragem e colocação em fôrma, de armadura CA-60 B fina, diâmetro de 4.0 a 7.0mm</t>
  </si>
  <si>
    <t>kg</t>
  </si>
  <si>
    <t>Fornecimento, dobragem e colocação em fôrma, de armadura CA-50 A média, diâmetro de 6.3 a 10.0 mm</t>
  </si>
  <si>
    <t>SUPER-ESTRUTURA</t>
  </si>
  <si>
    <t>2.3.1</t>
  </si>
  <si>
    <t>2.3.2</t>
  </si>
  <si>
    <t>2.3.3</t>
  </si>
  <si>
    <t>2.3.4</t>
  </si>
  <si>
    <t>Forma de chapas madeira compensada resinada, esp. 12mm, levando-se em conta a utilização 3 vezes, reforçadas com sarrafos de madeira de 2.5 x 10.0cm (incl material, corte, montagem, escoras em eucalipto e desforma)</t>
  </si>
  <si>
    <t>ALVENARIA</t>
  </si>
  <si>
    <t>Alvenaria de blocos de concreto 9x19x39cm, c/ resist. mínimo a compres. 2.5 MPa, assent. c/ arg. De cimento, cal hidratada CH1 e areia no traço 1:0.5:8 esp. das juntas 10mm e esp. das paredes, s/ rev. 9cm</t>
  </si>
  <si>
    <t>2.4.1</t>
  </si>
  <si>
    <t>ACABAMENTOS</t>
  </si>
  <si>
    <t>Reboco tipo paulista de argamassa de cimento, cal hidratada CH1 e areia média ou grossa lavada no traço 1:0.5:6, espessura 25 mm</t>
  </si>
  <si>
    <t>m</t>
  </si>
  <si>
    <t>Pintura com tinta acrílica, marcas de referência Suvinil, Coral ou Metalatex, inclusive selador acrílico, em paredes e forros, a três demãos</t>
  </si>
  <si>
    <t>2.5.1</t>
  </si>
  <si>
    <t>2.5.2</t>
  </si>
  <si>
    <t>2.5.3</t>
  </si>
  <si>
    <t>2.5.4</t>
  </si>
  <si>
    <t>PORTÕES</t>
  </si>
  <si>
    <t>Portão de ferro de correr em barra chata, inclusive chumbamento</t>
  </si>
  <si>
    <t>Pintura com tinta esmalte sintético, marcas de referência Suvinil, Coral ou Metalatex, a duas demãos, inclusive fundo anticorrosivo a uma demão, em metal</t>
  </si>
  <si>
    <t>2.6.1</t>
  </si>
  <si>
    <t>2.6.2</t>
  </si>
  <si>
    <t>SUBTOTAL 2.0:</t>
  </si>
  <si>
    <t>INSTALAÇÃO DE GRADES</t>
  </si>
  <si>
    <t>Grade de ferro em barra chata, inclusive chumbamento</t>
  </si>
  <si>
    <t>SUBTOTAL 3.0:</t>
  </si>
  <si>
    <r>
      <t xml:space="preserve">TABELAS DE REFERÊNCIAS: </t>
    </r>
    <r>
      <rPr>
        <sz val="11"/>
        <rFont val="Calibri"/>
        <family val="2"/>
        <scheme val="minor"/>
      </rPr>
      <t>IOPES</t>
    </r>
  </si>
  <si>
    <t>QUANTIDADE</t>
  </si>
  <si>
    <t>LARGURA</t>
  </si>
  <si>
    <t>ALTURA</t>
  </si>
  <si>
    <t>PROFUNDIDADE</t>
  </si>
  <si>
    <t>m2</t>
  </si>
  <si>
    <t>GRADES E PORTÕES</t>
  </si>
  <si>
    <t>Portão de ferro de abrir em barra chata, inclusive chumbamento</t>
  </si>
  <si>
    <t>ENGENHEIRO CIVIL - CREA -ES 41.899/D</t>
  </si>
  <si>
    <t>Alvenaria de blocos de concreto 14x19x39cm, c/ resist. mínimo a compres. 2.5 MPa, assent. c/ arg. De cimento, cal hidratada CH1 e areia no traço 1:0.5:8 esp. das juntas 10mm e esp. das paredes, s/ rev. 14cm</t>
  </si>
  <si>
    <t>2.6.3</t>
  </si>
  <si>
    <t>CONSTRUÇÃO DE ESCADA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</si>
  <si>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</si>
  <si>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</si>
  <si>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</si>
  <si>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</si>
  <si>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</si>
  <si>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</si>
  <si>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</si>
  <si>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</si>
  <si>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</si>
  <si>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DER-ES</t>
  </si>
  <si>
    <t>Fornecimento, preparo e aplicação de concreto Fck=25 MPa (brita 1 e 2) - (5% de perdas já incluído no custo)</t>
  </si>
  <si>
    <t>SUBTOTAL 4.0</t>
  </si>
  <si>
    <t>Alvenaria de blocos de concreto estrut. (14x19x39cm) cheios, c/ resist. mín. compr. 15MPa, assentados c/ arg. de cimento e areia no traço 1:4, esp. juntas 10mm e esp. da parede s/ revest. 14cm</t>
  </si>
  <si>
    <t>Piso cimentado liso com 1.5 cm de espessura, de argamassa de cimento e areia no traço 1:3 e juntas plásticas em quadros de 1 m</t>
  </si>
  <si>
    <r>
      <t xml:space="preserve">BDI: </t>
    </r>
    <r>
      <rPr>
        <sz val="11"/>
        <rFont val="Calibri"/>
        <family val="2"/>
        <scheme val="minor"/>
      </rPr>
      <t>36,59%</t>
    </r>
  </si>
  <si>
    <t>Chapim sobre muros lineares, em granito ou mármore, l = 25 cm, assentado com argamassa 1:6 com aditivo. af_11/2020</t>
  </si>
  <si>
    <t>SINAPI</t>
  </si>
  <si>
    <t>101966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</si>
  <si>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</si>
  <si>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</si>
  <si>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</si>
  <si>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</si>
  <si>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</si>
  <si>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</si>
  <si>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</si>
  <si>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</si>
  <si>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</si>
  <si>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SUBTOTAL 5.0</t>
  </si>
  <si>
    <t>AMPLIAÇÃO E INSTALAÇÕES ELÉTRICAS</t>
  </si>
  <si>
    <r>
      <t xml:space="preserve">DATA BASE:
</t>
    </r>
    <r>
      <rPr>
        <sz val="11"/>
        <rFont val="Calibri"/>
        <family val="2"/>
        <scheme val="minor"/>
      </rPr>
      <t>04/2023</t>
    </r>
  </si>
  <si>
    <t>5.10</t>
  </si>
  <si>
    <t>5.11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</si>
  <si>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</si>
  <si>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</si>
  <si>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</si>
  <si>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</si>
  <si>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</si>
  <si>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</si>
  <si>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</si>
  <si>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</si>
  <si>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</si>
  <si>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</si>
  <si>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</si>
  <si>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</si>
  <si>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</si>
  <si>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</si>
  <si>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</si>
  <si>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</si>
  <si>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Marco de madeira de lei de 1ª (Peroba, Ipê, Angelim Pedra ou equivalente) com 15x3 cm de batente, nas dimensões de 0.80 x 2.10 m</t>
  </si>
  <si>
    <t>und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</si>
  <si>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</si>
  <si>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Báscula para vidro em alumínio anodizado cor natural, linha 25, completa, com tranca, caixilho, alizar e contramarco, exclusive vidro</t>
  </si>
  <si>
    <t>Vidro plano transparente liso, com 4 mm de espessura</t>
  </si>
  <si>
    <t>Forro PVC branco L = 20 cm, frisado, estruturado por perfis de aço galvanizado e tirantes rígidos fabricado de acordo com a NBR-14285, colocado</t>
  </si>
  <si>
    <t>Lastro regularizado de concreto não estrutural, espessura de 8 cm</t>
  </si>
  <si>
    <t>Regularização de base p/ revestimento cerâmico, com argamassa de cimento e areia no traço 1:5, espessura 3cm</t>
  </si>
  <si>
    <t>Piso cerâmico esmaltado, PEI 5, acabamento semibrilho, dim. 45x45cm, ref. de cor CARGO PLUS WHITE Eliane/equiv. assentado com argamassa de cimento colante, inclusive rejuntamento</t>
  </si>
  <si>
    <t>FABRICAÇÃO E INSTALAÇÃO DE TESOURA INTEIRA EM AÇO, VÃO DE 3 M, PARA TELHA ONDULADA DE FIBROCIMENTO, METÁLICA, PLÁSTICA OU TERMOACÚSTICA, INCLUSO IÇAMENTO. AF_12/2015</t>
  </si>
  <si>
    <t xml:space="preserve"> TRAMA DE AÇO COMPOSTA POR TERÇAS PARA TELHADOS DE ATÉ 2 ÁGUAS PARA TELHA ONDULADA DE FIBROCIMENTO, METÁLICA, PLÁSTICA OU TERMOACÚSTICA, INCLUSO TRANSPORTE VERTICAL (EM KG). AF_07/2019</t>
  </si>
  <si>
    <t>TELHAMENTO COM TELHA METÁLICA TERMOACÚSTICA E = 30 MM, COM ATÉ 2 ÁGUAS, INCLUSO IÇAMENTO. AF_07/2019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</si>
  <si>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</si>
  <si>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</si>
  <si>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</si>
  <si>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</si>
  <si>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</si>
  <si>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</si>
  <si>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</si>
  <si>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</si>
  <si>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</si>
  <si>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Rufo de concreto armado Fck=15 MPa, nas dimensões de 30x5 cm, moldado "in loco"</t>
  </si>
  <si>
    <t>5.36</t>
  </si>
  <si>
    <t>Rodapé em cerâmica PEI-3, h = 7cm, assentado com argamassa de cimento, cal e areia, incl. rejuntamento com cimento branco</t>
  </si>
  <si>
    <t>Ponto padrão de luz na parede - considerando eletroduto PVC rígido de 3/4" inclusive conexões (4.5m), fio isolado PVC de 2.5mm2 (16.2m) e caixa pvc 4x2" (1 und)</t>
  </si>
  <si>
    <t>Ponto padrão de ventilador no teto - considerando eletroduto PVC rígido de 3/4" inclusive conexões (4.5m), fio isolado PVC de 2.5mm2 (21.6m) e caixa PVC 4x4" (1 und)</t>
  </si>
  <si>
    <t>Ponto padrão de luz no teto - considerando eletroduto PVC rígido de 3/4" inclusive conexões (4.5m), fio isolado PVC de 2.5mm2 (16.2m) e caixa PVC 4x4" (1 und)</t>
  </si>
  <si>
    <t>Ponto padrão de interruptor para ventilador - considerando eletroduto PVC rígido de 3/4" inclusive conexões (3.3m), fio isolado PVC de 2.5mm2 (12.0m) e caixa PVC 4x2" (1 und)</t>
  </si>
  <si>
    <t>Ponto padrão de tomada para chuveiro elétrico - considerando eletroduto PVC rígido de 3/4" inclusive conexões (9.0m), fio isolado PVC de 6.0mm2 (32.5m) e caixa PVC 4x2" (1 und)</t>
  </si>
  <si>
    <t>Ponto padrão de interruptor de 1 tecla simples e 1 tomada dois pólos mais terra 10A/250V - considerando eletroduto PVC rígido de 3/4" inclusive conexões (4.5m), fio isolado PVC de 2.5mm2 (19.4m) e caixa PVC 4x2" (1 und)</t>
  </si>
  <si>
    <t>5.37</t>
  </si>
  <si>
    <t>5.38</t>
  </si>
  <si>
    <t>Arandela com lâmpada incandescente de 100W</t>
  </si>
  <si>
    <t>Interruptor de uma tecla simples 10A/250V e uma tomada 3 polos 10A/250V, padrão brasileiro, NBR 14136, linha branca, com placa 4x2"</t>
  </si>
  <si>
    <t>Interruptor com controle para ventilador de teto</t>
  </si>
  <si>
    <t>ORSE</t>
  </si>
  <si>
    <t>Luminaria sobrepor compl., corpo ch. aço pintada branca, refletor aletas parabólicas alum.alta pureza e refletância inclusive 2 lâmpadas LED T8 20W temp. de cor 5000k bivolt c/ 1,20m - Ref. CS232AL-N - AMES, 2447 - LUMAVI OU EQUIVALENTE</t>
  </si>
  <si>
    <t>Fornecimento e plantio de grama em placas tipo esmeralda, inclusive fornecimento de terra vegetal</t>
  </si>
  <si>
    <t>Fornecimento e espalhamento de areia média lavada</t>
  </si>
  <si>
    <t>Guarda-corpo h = 1,10m e Corrimão em Aço Inox, barras superiores alt=0,92m e 0,70m e barra inferior, diam= 1.1/2" r, barras verticais d=3/4" a cada 0,11m, curvas de aço inox. - Escada</t>
  </si>
  <si>
    <t>Ventilador de teto conjugado c/lâmpada compacta</t>
  </si>
  <si>
    <t>MÊS 03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</si>
  <si>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03 MESES</t>
    </r>
  </si>
  <si>
    <t>TRAMA DE AÇO COMPOSTA POR TERÇAS PARA TELHADOS DE ATÉ 2 ÁGUAS PARA TELHA ONDULADA DE FIBROCIMENTO, METÁLICA, PLÁSTICA OU TERMOACÚSTICA, INCLUSO TRANSPORTE VERTICAL (EM KG). AF_07/2019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</si>
</sst>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&quot; &quot;;&quot;-&quot;#,##0.00&quot; &quot;;&quot; -&quot;#&quot; &quot;;@&quot; &quot;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Border="0" applyProtection="0"/>
    <xf numFmtId="166" fontId="3" fillId="0" borderId="0" applyFont="0" applyBorder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1"/>
    <xf numFmtId="1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NumberFormat="1"/>
    <xf numFmtId="1" fontId="0" fillId="3" borderId="0" xfId="0" applyNumberFormat="1" applyFill="1"/>
    <xf numFmtId="1" fontId="8" fillId="3" borderId="3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0" fontId="10" fillId="3" borderId="17" xfId="0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vertical="center"/>
    </xf>
    <xf numFmtId="0" fontId="10" fillId="0" borderId="21" xfId="6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/>
    </xf>
    <xf numFmtId="44" fontId="12" fillId="2" borderId="25" xfId="0" applyNumberFormat="1" applyFont="1" applyFill="1" applyBorder="1" applyAlignment="1">
      <alignment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10" fontId="12" fillId="2" borderId="26" xfId="9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2" fontId="9" fillId="3" borderId="12" xfId="7" applyNumberFormat="1" applyFont="1" applyFill="1" applyBorder="1" applyAlignment="1">
      <alignment horizontal="right" vertical="center"/>
    </xf>
    <xf numFmtId="4" fontId="9" fillId="3" borderId="28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4" fontId="17" fillId="0" borderId="21" xfId="6" applyNumberFormat="1" applyFont="1" applyFill="1" applyBorder="1" applyAlignment="1">
      <alignment horizontal="center" vertical="center"/>
    </xf>
    <xf numFmtId="44" fontId="9" fillId="4" borderId="7" xfId="2" applyNumberFormat="1" applyFont="1" applyFill="1" applyBorder="1" applyAlignment="1">
      <alignment vertical="center"/>
    </xf>
    <xf numFmtId="10" fontId="9" fillId="4" borderId="0" xfId="1" applyNumberFormat="1" applyFont="1" applyFill="1" applyBorder="1" applyAlignment="1">
      <alignment vertical="center"/>
    </xf>
    <xf numFmtId="44" fontId="9" fillId="4" borderId="46" xfId="2" applyNumberFormat="1" applyFont="1" applyFill="1" applyBorder="1" applyAlignment="1">
      <alignment vertical="center"/>
    </xf>
    <xf numFmtId="0" fontId="9" fillId="0" borderId="0" xfId="1" applyFont="1"/>
    <xf numFmtId="44" fontId="9" fillId="0" borderId="22" xfId="2" applyNumberFormat="1" applyFont="1" applyBorder="1" applyAlignment="1">
      <alignment vertical="center"/>
    </xf>
    <xf numFmtId="44" fontId="9" fillId="0" borderId="2" xfId="2" applyNumberFormat="1" applyFont="1" applyBorder="1" applyAlignment="1">
      <alignment vertical="center"/>
    </xf>
    <xf numFmtId="44" fontId="9" fillId="4" borderId="2" xfId="2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22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1" fontId="8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vertical="center"/>
    </xf>
    <xf numFmtId="2" fontId="9" fillId="3" borderId="12" xfId="7" applyNumberFormat="1" applyFont="1" applyFill="1" applyBorder="1" applyAlignment="1">
      <alignment horizontal="right" vertical="center" wrapText="1"/>
    </xf>
    <xf numFmtId="44" fontId="9" fillId="0" borderId="6" xfId="2" applyNumberFormat="1" applyFont="1" applyBorder="1" applyAlignment="1">
      <alignment vertical="center"/>
    </xf>
    <xf numFmtId="44" fontId="9" fillId="0" borderId="0" xfId="2" applyNumberFormat="1" applyFont="1" applyBorder="1" applyAlignment="1">
      <alignment vertical="center"/>
    </xf>
    <xf numFmtId="44" fontId="9" fillId="4" borderId="0" xfId="2" applyNumberFormat="1" applyFont="1" applyFill="1" applyBorder="1" applyAlignment="1">
      <alignment vertical="center"/>
    </xf>
    <xf numFmtId="49" fontId="8" fillId="2" borderId="35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vertical="center"/>
    </xf>
    <xf numFmtId="49" fontId="10" fillId="3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right" vertical="center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0" fontId="0" fillId="0" borderId="14" xfId="9" applyNumberFormat="1" applyFont="1" applyBorder="1" applyAlignment="1">
      <alignment horizontal="right" vertical="center"/>
    </xf>
    <xf numFmtId="10" fontId="0" fillId="0" borderId="14" xfId="9" applyNumberFormat="1" applyFont="1" applyBorder="1" applyAlignment="1">
      <alignment vertical="center"/>
    </xf>
    <xf numFmtId="10" fontId="5" fillId="0" borderId="14" xfId="9" applyNumberFormat="1" applyFont="1" applyBorder="1" applyAlignment="1">
      <alignment vertical="center"/>
    </xf>
    <xf numFmtId="0" fontId="9" fillId="0" borderId="49" xfId="0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4" fontId="9" fillId="3" borderId="5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9" fillId="3" borderId="14" xfId="0" applyNumberFormat="1" applyFont="1" applyFill="1" applyBorder="1" applyAlignment="1">
      <alignment horizontal="right" vertical="center"/>
    </xf>
    <xf numFmtId="167" fontId="9" fillId="0" borderId="13" xfId="0" applyNumberFormat="1" applyFont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44" fontId="9" fillId="0" borderId="7" xfId="2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44" fontId="9" fillId="0" borderId="46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0" fillId="0" borderId="17" xfId="0" applyNumberFormat="1" applyFont="1" applyFill="1" applyBorder="1" applyAlignment="1">
      <alignment horizontal="center" vertical="center"/>
    </xf>
    <xf numFmtId="44" fontId="9" fillId="0" borderId="0" xfId="2" applyNumberFormat="1" applyFont="1" applyFill="1" applyBorder="1" applyAlignment="1">
      <alignment vertical="center"/>
    </xf>
    <xf numFmtId="44" fontId="9" fillId="0" borderId="2" xfId="2" applyNumberFormat="1" applyFont="1" applyFill="1" applyBorder="1" applyAlignment="1">
      <alignment vertical="center"/>
    </xf>
    <xf numFmtId="1" fontId="8" fillId="3" borderId="51" xfId="0" applyNumberFormat="1" applyFont="1" applyFill="1" applyBorder="1" applyAlignment="1">
      <alignment horizontal="center" vertical="center"/>
    </xf>
    <xf numFmtId="43" fontId="9" fillId="3" borderId="13" xfId="7" quotePrefix="1" applyNumberFormat="1" applyFont="1" applyFill="1" applyBorder="1" applyAlignment="1">
      <alignment horizontal="center" vertical="center"/>
    </xf>
    <xf numFmtId="43" fontId="10" fillId="0" borderId="17" xfId="5" applyNumberFormat="1" applyFont="1" applyFill="1" applyBorder="1" applyAlignment="1">
      <alignment horizontal="center" vertical="center" wrapText="1"/>
    </xf>
    <xf numFmtId="43" fontId="9" fillId="3" borderId="9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11" fillId="0" borderId="42" xfId="6" applyNumberFormat="1" applyFont="1" applyFill="1" applyBorder="1" applyAlignment="1">
      <alignment horizontal="center" vertical="center"/>
    </xf>
    <xf numFmtId="0" fontId="11" fillId="0" borderId="21" xfId="6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0" xfId="8" applyFont="1" applyAlignment="1">
      <alignment horizontal="center" wrapText="1"/>
    </xf>
    <xf numFmtId="0" fontId="9" fillId="0" borderId="0" xfId="8" applyFont="1" applyAlignment="1">
      <alignment horizontal="center" wrapText="1"/>
    </xf>
    <xf numFmtId="1" fontId="13" fillId="0" borderId="15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left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>
      <alignment horizontal="left" vertical="center"/>
    </xf>
    <xf numFmtId="1" fontId="13" fillId="0" borderId="3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left" vertical="center" wrapText="1"/>
    </xf>
    <xf numFmtId="0" fontId="14" fillId="0" borderId="3" xfId="1" quotePrefix="1" applyFont="1" applyBorder="1" applyAlignment="1">
      <alignment horizontal="left" wrapText="1"/>
    </xf>
    <xf numFmtId="0" fontId="14" fillId="0" borderId="13" xfId="1" quotePrefix="1" applyFont="1" applyBorder="1" applyAlignment="1">
      <alignment horizontal="left" wrapText="1"/>
    </xf>
    <xf numFmtId="0" fontId="14" fillId="0" borderId="14" xfId="1" quotePrefix="1" applyFont="1" applyBorder="1" applyAlignment="1">
      <alignment horizontal="left" wrapText="1"/>
    </xf>
    <xf numFmtId="44" fontId="9" fillId="0" borderId="35" xfId="2" applyNumberFormat="1" applyFont="1" applyBorder="1" applyAlignment="1">
      <alignment horizontal="center" vertical="center"/>
    </xf>
    <xf numFmtId="44" fontId="9" fillId="0" borderId="8" xfId="2" applyNumberFormat="1" applyFont="1" applyBorder="1" applyAlignment="1">
      <alignment horizontal="center" vertical="center"/>
    </xf>
    <xf numFmtId="44" fontId="9" fillId="0" borderId="47" xfId="2" applyNumberFormat="1" applyFont="1" applyBorder="1" applyAlignment="1">
      <alignment horizontal="center" vertical="center"/>
    </xf>
    <xf numFmtId="44" fontId="9" fillId="0" borderId="35" xfId="2" applyNumberFormat="1" applyFont="1" applyFill="1" applyBorder="1" applyAlignment="1">
      <alignment horizontal="center" vertical="center"/>
    </xf>
    <xf numFmtId="44" fontId="9" fillId="0" borderId="8" xfId="2" applyNumberFormat="1" applyFont="1" applyFill="1" applyBorder="1" applyAlignment="1">
      <alignment horizontal="center" vertical="center"/>
    </xf>
    <xf numFmtId="44" fontId="9" fillId="0" borderId="47" xfId="2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13" fillId="0" borderId="4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44" fontId="13" fillId="0" borderId="9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9" fontId="13" fillId="0" borderId="9" xfId="9" applyFont="1" applyBorder="1" applyAlignment="1">
      <alignment horizontal="center"/>
    </xf>
    <xf numFmtId="9" fontId="13" fillId="0" borderId="11" xfId="9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44" fontId="9" fillId="0" borderId="10" xfId="1" applyNumberFormat="1" applyFont="1" applyBorder="1" applyAlignment="1">
      <alignment horizontal="center"/>
    </xf>
    <xf numFmtId="44" fontId="9" fillId="0" borderId="11" xfId="1" applyNumberFormat="1" applyFont="1" applyBorder="1" applyAlignment="1">
      <alignment horizontal="center"/>
    </xf>
    <xf numFmtId="44" fontId="9" fillId="0" borderId="16" xfId="1" applyNumberFormat="1" applyFont="1" applyBorder="1" applyAlignment="1">
      <alignment horizontal="center"/>
    </xf>
    <xf numFmtId="10" fontId="9" fillId="0" borderId="9" xfId="9" applyNumberFormat="1" applyFont="1" applyBorder="1" applyAlignment="1">
      <alignment horizontal="center"/>
    </xf>
    <xf numFmtId="10" fontId="9" fillId="0" borderId="10" xfId="9" applyNumberFormat="1" applyFont="1" applyBorder="1" applyAlignment="1">
      <alignment horizontal="center"/>
    </xf>
    <xf numFmtId="10" fontId="9" fillId="0" borderId="16" xfId="9" applyNumberFormat="1" applyFont="1" applyBorder="1" applyAlignment="1">
      <alignment horizontal="center"/>
    </xf>
    <xf numFmtId="10" fontId="8" fillId="0" borderId="43" xfId="9" applyNumberFormat="1" applyFont="1" applyBorder="1" applyAlignment="1">
      <alignment horizontal="center"/>
    </xf>
    <xf numFmtId="10" fontId="8" fillId="0" borderId="25" xfId="9" applyNumberFormat="1" applyFont="1" applyBorder="1" applyAlignment="1">
      <alignment horizontal="center"/>
    </xf>
    <xf numFmtId="10" fontId="8" fillId="0" borderId="26" xfId="9" applyNumberFormat="1" applyFont="1" applyBorder="1" applyAlignment="1">
      <alignment horizontal="center"/>
    </xf>
    <xf numFmtId="44" fontId="18" fillId="0" borderId="9" xfId="1" applyNumberFormat="1" applyFont="1" applyBorder="1" applyAlignment="1">
      <alignment horizontal="center"/>
    </xf>
    <xf numFmtId="44" fontId="18" fillId="0" borderId="10" xfId="1" applyNumberFormat="1" applyFont="1" applyBorder="1" applyAlignment="1">
      <alignment horizontal="center"/>
    </xf>
    <xf numFmtId="44" fontId="18" fillId="0" borderId="11" xfId="1" applyNumberFormat="1" applyFont="1" applyBorder="1" applyAlignment="1">
      <alignment horizontal="center"/>
    </xf>
    <xf numFmtId="10" fontId="8" fillId="0" borderId="34" xfId="9" applyNumberFormat="1" applyFont="1" applyBorder="1" applyAlignment="1">
      <alignment horizontal="center"/>
    </xf>
    <xf numFmtId="0" fontId="8" fillId="2" borderId="9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horizontal="center" wrapText="1"/>
    </xf>
    <xf numFmtId="10" fontId="9" fillId="0" borderId="11" xfId="9" applyNumberFormat="1" applyFont="1" applyBorder="1" applyAlignment="1">
      <alignment horizontal="center"/>
    </xf>
    <xf numFmtId="1" fontId="8" fillId="0" borderId="18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9" fontId="9" fillId="0" borderId="5" xfId="2" applyNumberFormat="1" applyFont="1" applyBorder="1" applyAlignment="1">
      <alignment horizontal="center" vertical="center"/>
    </xf>
    <xf numFmtId="9" fontId="9" fillId="0" borderId="6" xfId="2" applyNumberFormat="1" applyFont="1" applyBorder="1" applyAlignment="1">
      <alignment horizontal="center" vertical="center"/>
    </xf>
    <xf numFmtId="9" fontId="9" fillId="0" borderId="40" xfId="2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4" fontId="8" fillId="3" borderId="4" xfId="2" applyNumberFormat="1" applyFont="1" applyFill="1" applyBorder="1" applyAlignment="1">
      <alignment vertical="center"/>
    </xf>
    <xf numFmtId="44" fontId="8" fillId="3" borderId="44" xfId="2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44" fontId="9" fillId="0" borderId="20" xfId="2" applyNumberFormat="1" applyFont="1" applyFill="1" applyBorder="1" applyAlignment="1">
      <alignment horizontal="center" vertical="center"/>
    </xf>
    <xf numFmtId="44" fontId="18" fillId="0" borderId="16" xfId="1" applyNumberFormat="1" applyFont="1" applyBorder="1" applyAlignment="1">
      <alignment horizontal="center"/>
    </xf>
    <xf numFmtId="10" fontId="8" fillId="0" borderId="4" xfId="1" applyNumberFormat="1" applyFont="1" applyBorder="1" applyAlignment="1">
      <alignment vertical="center"/>
    </xf>
    <xf numFmtId="10" fontId="8" fillId="0" borderId="44" xfId="1" applyNumberFormat="1" applyFont="1" applyBorder="1" applyAlignment="1">
      <alignment vertical="center"/>
    </xf>
    <xf numFmtId="10" fontId="8" fillId="0" borderId="12" xfId="1" applyNumberFormat="1" applyFont="1" applyBorder="1" applyAlignment="1">
      <alignment vertical="center"/>
    </xf>
    <xf numFmtId="9" fontId="9" fillId="0" borderId="5" xfId="2" applyNumberFormat="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9" fontId="9" fillId="0" borderId="40" xfId="2" applyNumberFormat="1" applyFont="1" applyFill="1" applyBorder="1" applyAlignment="1">
      <alignment horizontal="center" vertical="center"/>
    </xf>
    <xf numFmtId="9" fontId="9" fillId="0" borderId="5" xfId="9" applyFont="1" applyBorder="1" applyAlignment="1">
      <alignment horizontal="center" vertical="center"/>
    </xf>
    <xf numFmtId="9" fontId="9" fillId="0" borderId="6" xfId="9" applyFont="1" applyBorder="1" applyAlignment="1">
      <alignment horizontal="center" vertical="center"/>
    </xf>
    <xf numFmtId="9" fontId="9" fillId="0" borderId="22" xfId="9" applyFont="1" applyBorder="1" applyAlignment="1">
      <alignment horizontal="center" vertical="center"/>
    </xf>
    <xf numFmtId="44" fontId="9" fillId="0" borderId="20" xfId="2" applyNumberFormat="1" applyFont="1" applyBorder="1" applyAlignment="1">
      <alignment horizontal="center" vertical="center"/>
    </xf>
    <xf numFmtId="9" fontId="9" fillId="0" borderId="5" xfId="9" applyFont="1" applyFill="1" applyBorder="1" applyAlignment="1">
      <alignment horizontal="center" vertical="center"/>
    </xf>
    <xf numFmtId="9" fontId="9" fillId="0" borderId="6" xfId="9" applyFont="1" applyFill="1" applyBorder="1" applyAlignment="1">
      <alignment horizontal="center" vertical="center"/>
    </xf>
    <xf numFmtId="9" fontId="9" fillId="0" borderId="22" xfId="9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/>
    </xf>
    <xf numFmtId="0" fontId="8" fillId="0" borderId="18" xfId="1" applyFont="1" applyBorder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 wrapText="1"/>
    </xf>
    <xf numFmtId="43" fontId="8" fillId="2" borderId="0" xfId="0" applyNumberFormat="1" applyFont="1" applyFill="1" applyBorder="1" applyAlignment="1">
      <alignment vertical="center"/>
    </xf>
    <xf numFmtId="43" fontId="11" fillId="0" borderId="42" xfId="6" applyNumberFormat="1" applyFont="1" applyFill="1" applyBorder="1" applyAlignment="1">
      <alignment horizontal="center" vertical="center"/>
    </xf>
    <xf numFmtId="43" fontId="11" fillId="0" borderId="21" xfId="6" applyNumberFormat="1" applyFont="1" applyFill="1" applyBorder="1" applyAlignment="1">
      <alignment horizontal="center" vertical="center"/>
    </xf>
    <xf numFmtId="43" fontId="17" fillId="0" borderId="21" xfId="6" applyNumberFormat="1" applyFont="1" applyFill="1" applyBorder="1" applyAlignment="1">
      <alignment horizontal="center" vertical="center"/>
    </xf>
  </cellXfs>
  <cellStyles count="13">
    <cellStyle name="Excel Built-in Comma" xfId="6"/>
    <cellStyle name="Excel Built-in Normal" xfId="5"/>
    <cellStyle name="Normal" xfId="0" builtinId="0"/>
    <cellStyle name="Normal 10" xfId="10"/>
    <cellStyle name="Normal 2" xfId="1"/>
    <cellStyle name="Normal 2 2" xfId="8"/>
    <cellStyle name="Normal 3" xfId="3"/>
    <cellStyle name="Porcentagem" xfId="9" builtinId="5"/>
    <cellStyle name="Porcentagem 2" xfId="11"/>
    <cellStyle name="Porcentagem 2 2" xfId="12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257176</xdr:colOff>
      <xdr:row>1</xdr:row>
      <xdr:rowOff>222250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63501</xdr:rowOff>
    </xdr:from>
    <xdr:to>
      <xdr:col>0</xdr:col>
      <xdr:colOff>666750</xdr:colOff>
      <xdr:row>1</xdr:row>
      <xdr:rowOff>222251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3501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tabSelected="1" zoomScaleNormal="100" workbookViewId="0">
      <selection activeCell="K98" sqref="K98"/>
    </sheetView>
  </sheetViews>
  <sheetFormatPr defaultRowHeight="15" x14ac:dyDescent="0.25"/>
  <cols>
    <col min="1" max="1" width="5.42578125" style="2" bestFit="1" customWidth="1"/>
    <col min="2" max="2" width="7.85546875" bestFit="1" customWidth="1"/>
    <col min="3" max="3" width="9.7109375" style="5" bestFit="1" customWidth="1"/>
    <col min="4" max="4" width="63.140625" bestFit="1" customWidth="1"/>
    <col min="5" max="5" width="4.85546875" bestFit="1" customWidth="1"/>
    <col min="6" max="6" width="8.140625" style="4" bestFit="1" customWidth="1"/>
    <col min="7" max="7" width="12" style="4" bestFit="1" customWidth="1"/>
    <col min="8" max="8" width="15.85546875" bestFit="1" customWidth="1"/>
    <col min="9" max="9" width="9" bestFit="1" customWidth="1"/>
    <col min="10" max="10" width="11.7109375" customWidth="1"/>
    <col min="11" max="11" width="14.85546875" customWidth="1"/>
  </cols>
  <sheetData>
    <row r="1" spans="1:11" ht="27" customHeight="1" x14ac:dyDescent="0.25">
      <c r="A1" s="109" t="s">
        <v>4</v>
      </c>
      <c r="B1" s="110"/>
      <c r="C1" s="110"/>
      <c r="D1" s="110"/>
      <c r="E1" s="110"/>
      <c r="F1" s="110"/>
      <c r="G1" s="110"/>
      <c r="H1" s="110"/>
      <c r="I1" s="111"/>
    </row>
    <row r="2" spans="1:11" ht="21.75" customHeight="1" x14ac:dyDescent="0.25">
      <c r="A2" s="112" t="s">
        <v>15</v>
      </c>
      <c r="B2" s="113"/>
      <c r="C2" s="113"/>
      <c r="D2" s="113"/>
      <c r="E2" s="113"/>
      <c r="F2" s="113"/>
      <c r="G2" s="113"/>
      <c r="H2" s="113"/>
      <c r="I2" s="114"/>
    </row>
    <row r="3" spans="1:11" ht="15" customHeight="1" x14ac:dyDescent="0.25">
      <c r="A3" s="117" t="s">
        <v>38</v>
      </c>
      <c r="B3" s="118"/>
      <c r="C3" s="118"/>
      <c r="D3" s="118"/>
      <c r="E3" s="118"/>
      <c r="F3" s="118"/>
      <c r="G3" s="118"/>
      <c r="H3" s="23" t="s">
        <v>114</v>
      </c>
      <c r="I3" s="125" t="s">
        <v>52</v>
      </c>
    </row>
    <row r="4" spans="1:11" ht="15" customHeight="1" x14ac:dyDescent="0.25">
      <c r="A4" s="119" t="s">
        <v>39</v>
      </c>
      <c r="B4" s="120"/>
      <c r="C4" s="120"/>
      <c r="D4" s="120"/>
      <c r="E4" s="120"/>
      <c r="F4" s="120"/>
      <c r="G4" s="120"/>
      <c r="H4" s="128" t="s">
        <v>129</v>
      </c>
      <c r="I4" s="126"/>
    </row>
    <row r="5" spans="1:11" ht="15" customHeight="1" x14ac:dyDescent="0.25">
      <c r="A5" s="119" t="s">
        <v>88</v>
      </c>
      <c r="B5" s="120"/>
      <c r="C5" s="120"/>
      <c r="D5" s="120"/>
      <c r="E5" s="120"/>
      <c r="F5" s="120"/>
      <c r="G5" s="120"/>
      <c r="H5" s="129"/>
      <c r="I5" s="127"/>
    </row>
    <row r="6" spans="1:11" ht="30" x14ac:dyDescent="0.25">
      <c r="A6" s="17" t="s">
        <v>0</v>
      </c>
      <c r="B6" s="18" t="s">
        <v>19</v>
      </c>
      <c r="C6" s="18" t="s">
        <v>20</v>
      </c>
      <c r="D6" s="18" t="s">
        <v>18</v>
      </c>
      <c r="E6" s="18" t="s">
        <v>1</v>
      </c>
      <c r="F6" s="18" t="s">
        <v>2</v>
      </c>
      <c r="G6" s="18" t="s">
        <v>21</v>
      </c>
      <c r="H6" s="19" t="s">
        <v>22</v>
      </c>
      <c r="I6" s="21" t="s">
        <v>23</v>
      </c>
    </row>
    <row r="7" spans="1:11" x14ac:dyDescent="0.25">
      <c r="A7" s="8">
        <v>1</v>
      </c>
      <c r="B7" s="123"/>
      <c r="C7" s="124"/>
      <c r="D7" s="47" t="s">
        <v>26</v>
      </c>
      <c r="E7" s="48"/>
      <c r="F7" s="48"/>
      <c r="G7" s="48"/>
      <c r="H7" s="48"/>
      <c r="I7" s="49"/>
    </row>
    <row r="8" spans="1:11" x14ac:dyDescent="0.25">
      <c r="A8" s="7" t="s">
        <v>7</v>
      </c>
      <c r="B8" s="9" t="s">
        <v>109</v>
      </c>
      <c r="C8" s="9">
        <v>20305</v>
      </c>
      <c r="D8" s="36" t="s">
        <v>25</v>
      </c>
      <c r="E8" s="37" t="s">
        <v>46</v>
      </c>
      <c r="F8" s="104">
        <f>'M. CÁLCULO'!H6</f>
        <v>8</v>
      </c>
      <c r="G8" s="105">
        <f>ROUND(K8,2)</f>
        <v>0</v>
      </c>
      <c r="H8" s="106">
        <f>SUM(G8*F8)</f>
        <v>0</v>
      </c>
      <c r="I8" s="77" t="e">
        <f>H8/$H$94</f>
        <v>#DIV/0!</v>
      </c>
      <c r="K8" s="68">
        <f>J8*1.3659</f>
        <v>0</v>
      </c>
    </row>
    <row r="9" spans="1:11" x14ac:dyDescent="0.25">
      <c r="A9" s="10"/>
      <c r="B9" s="11"/>
      <c r="C9" s="11"/>
      <c r="D9" s="11"/>
      <c r="E9" s="115" t="s">
        <v>41</v>
      </c>
      <c r="F9" s="116"/>
      <c r="G9" s="116"/>
      <c r="H9" s="39">
        <f>SUM(H8:H8)</f>
        <v>0</v>
      </c>
      <c r="I9" s="78" t="e">
        <f>H9/$H$94</f>
        <v>#DIV/0!</v>
      </c>
      <c r="K9" s="68"/>
    </row>
    <row r="10" spans="1:11" x14ac:dyDescent="0.25">
      <c r="A10" s="12">
        <v>2</v>
      </c>
      <c r="B10" s="121"/>
      <c r="C10" s="122"/>
      <c r="D10" s="64" t="s">
        <v>40</v>
      </c>
      <c r="E10" s="65"/>
      <c r="F10" s="65"/>
      <c r="G10" s="65"/>
      <c r="H10" s="65"/>
      <c r="I10" s="66"/>
      <c r="K10" s="68"/>
    </row>
    <row r="11" spans="1:11" x14ac:dyDescent="0.25">
      <c r="A11" s="12" t="s">
        <v>8</v>
      </c>
      <c r="B11" s="121"/>
      <c r="C11" s="122"/>
      <c r="D11" s="50" t="s">
        <v>42</v>
      </c>
      <c r="E11" s="51"/>
      <c r="F11" s="51"/>
      <c r="G11" s="51"/>
      <c r="H11" s="51"/>
      <c r="I11" s="52"/>
      <c r="K11" s="68"/>
    </row>
    <row r="12" spans="1:11" x14ac:dyDescent="0.25">
      <c r="A12" s="7" t="s">
        <v>44</v>
      </c>
      <c r="B12" s="9" t="s">
        <v>109</v>
      </c>
      <c r="C12" s="9">
        <v>30101</v>
      </c>
      <c r="D12" s="38" t="s">
        <v>43</v>
      </c>
      <c r="E12" s="239" t="s">
        <v>45</v>
      </c>
      <c r="F12" s="104">
        <f>ROUND('M. CÁLCULO'!H12,2)</f>
        <v>14.84</v>
      </c>
      <c r="G12" s="105">
        <f>ROUND(K12,2)</f>
        <v>0</v>
      </c>
      <c r="H12" s="106">
        <f>ROUND(SUM(G12*F12),2)</f>
        <v>0</v>
      </c>
      <c r="I12" s="77" t="e">
        <f>H12/$H$94</f>
        <v>#DIV/0!</v>
      </c>
      <c r="K12" s="68">
        <f t="shared" ref="K12:K92" si="0">J12*1.3659</f>
        <v>0</v>
      </c>
    </row>
    <row r="13" spans="1:11" x14ac:dyDescent="0.25">
      <c r="A13" s="7" t="s">
        <v>49</v>
      </c>
      <c r="B13" s="9" t="s">
        <v>109</v>
      </c>
      <c r="C13" s="9">
        <v>30119</v>
      </c>
      <c r="D13" s="38" t="s">
        <v>47</v>
      </c>
      <c r="E13" s="239" t="s">
        <v>46</v>
      </c>
      <c r="F13" s="104">
        <f>ROUND('M. CÁLCULO'!H15,2)</f>
        <v>35.32</v>
      </c>
      <c r="G13" s="105">
        <f t="shared" ref="G13:G14" si="1">ROUND(K13,2)</f>
        <v>0</v>
      </c>
      <c r="H13" s="106">
        <f t="shared" ref="H13:H14" si="2">ROUND(SUM(G13*F13),2)</f>
        <v>0</v>
      </c>
      <c r="I13" s="77" t="e">
        <f>H13/$H$94</f>
        <v>#DIV/0!</v>
      </c>
      <c r="K13" s="68">
        <f t="shared" si="0"/>
        <v>0</v>
      </c>
    </row>
    <row r="14" spans="1:11" x14ac:dyDescent="0.25">
      <c r="A14" s="7" t="s">
        <v>50</v>
      </c>
      <c r="B14" s="9" t="s">
        <v>109</v>
      </c>
      <c r="C14" s="9">
        <v>30201</v>
      </c>
      <c r="D14" s="38" t="s">
        <v>48</v>
      </c>
      <c r="E14" s="239" t="s">
        <v>45</v>
      </c>
      <c r="F14" s="104">
        <f>ROUND('M. CÁLCULO'!H16,2)</f>
        <v>9.1300000000000008</v>
      </c>
      <c r="G14" s="105">
        <f t="shared" si="1"/>
        <v>0</v>
      </c>
      <c r="H14" s="106">
        <f t="shared" si="2"/>
        <v>0</v>
      </c>
      <c r="I14" s="77" t="e">
        <f>H14/$H$94</f>
        <v>#DIV/0!</v>
      </c>
      <c r="K14" s="68">
        <f t="shared" si="0"/>
        <v>0</v>
      </c>
    </row>
    <row r="15" spans="1:11" x14ac:dyDescent="0.25">
      <c r="A15" s="12" t="s">
        <v>9</v>
      </c>
      <c r="B15" s="121"/>
      <c r="C15" s="122"/>
      <c r="D15" s="50" t="s">
        <v>51</v>
      </c>
      <c r="E15" s="240"/>
      <c r="F15" s="240"/>
      <c r="G15" s="240"/>
      <c r="H15" s="240"/>
      <c r="I15" s="52"/>
      <c r="K15" s="68"/>
    </row>
    <row r="16" spans="1:11" ht="38.25" x14ac:dyDescent="0.25">
      <c r="A16" s="7" t="s">
        <v>54</v>
      </c>
      <c r="B16" s="9" t="s">
        <v>109</v>
      </c>
      <c r="C16" s="9">
        <v>40206</v>
      </c>
      <c r="D16" s="38" t="s">
        <v>53</v>
      </c>
      <c r="E16" s="239" t="s">
        <v>46</v>
      </c>
      <c r="F16" s="104">
        <f>ROUND('M. CÁLCULO'!H23,2)</f>
        <v>39.409999999999997</v>
      </c>
      <c r="G16" s="105">
        <f>ROUND(K16,2)</f>
        <v>0</v>
      </c>
      <c r="H16" s="106">
        <f>ROUND(SUM(G16*F16),2)</f>
        <v>0</v>
      </c>
      <c r="I16" s="76" t="e">
        <f>H16/$H$94</f>
        <v>#DIV/0!</v>
      </c>
      <c r="K16" s="68">
        <f t="shared" si="0"/>
        <v>0</v>
      </c>
    </row>
    <row r="17" spans="1:11" ht="25.5" x14ac:dyDescent="0.25">
      <c r="A17" s="7" t="s">
        <v>55</v>
      </c>
      <c r="B17" s="9" t="s">
        <v>109</v>
      </c>
      <c r="C17" s="9">
        <v>40235</v>
      </c>
      <c r="D17" s="38" t="s">
        <v>58</v>
      </c>
      <c r="E17" s="239" t="s">
        <v>45</v>
      </c>
      <c r="F17" s="104">
        <f>ROUND('M. CÁLCULO'!H30,2)</f>
        <v>5.71</v>
      </c>
      <c r="G17" s="105">
        <f>ROUND(K17,2)</f>
        <v>0</v>
      </c>
      <c r="H17" s="106">
        <f t="shared" ref="H17:H19" si="3">ROUND(SUM(G17*F17),2)</f>
        <v>0</v>
      </c>
      <c r="I17" s="76" t="e">
        <f>H17/$H$94</f>
        <v>#DIV/0!</v>
      </c>
      <c r="K17" s="68">
        <f t="shared" si="0"/>
        <v>0</v>
      </c>
    </row>
    <row r="18" spans="1:11" ht="25.5" x14ac:dyDescent="0.25">
      <c r="A18" s="7" t="s">
        <v>56</v>
      </c>
      <c r="B18" s="9" t="s">
        <v>109</v>
      </c>
      <c r="C18" s="9">
        <v>40246</v>
      </c>
      <c r="D18" s="38" t="s">
        <v>59</v>
      </c>
      <c r="E18" s="239" t="s">
        <v>60</v>
      </c>
      <c r="F18" s="104">
        <f>ROUND('M. CÁLCULO'!H36,2)</f>
        <v>59.61</v>
      </c>
      <c r="G18" s="105">
        <f t="shared" ref="G18:G19" si="4">ROUND(K18,2)</f>
        <v>0</v>
      </c>
      <c r="H18" s="106">
        <f t="shared" si="3"/>
        <v>0</v>
      </c>
      <c r="I18" s="76" t="e">
        <f>H18/$H$94</f>
        <v>#DIV/0!</v>
      </c>
      <c r="K18" s="68">
        <f t="shared" si="0"/>
        <v>0</v>
      </c>
    </row>
    <row r="19" spans="1:11" ht="25.5" x14ac:dyDescent="0.25">
      <c r="A19" s="7" t="s">
        <v>57</v>
      </c>
      <c r="B19" s="9" t="s">
        <v>109</v>
      </c>
      <c r="C19" s="9">
        <v>40243</v>
      </c>
      <c r="D19" s="38" t="s">
        <v>61</v>
      </c>
      <c r="E19" s="239" t="s">
        <v>60</v>
      </c>
      <c r="F19" s="104">
        <f>ROUND('M. CÁLCULO'!H41,2)</f>
        <v>194.07</v>
      </c>
      <c r="G19" s="105">
        <f t="shared" si="4"/>
        <v>0</v>
      </c>
      <c r="H19" s="106">
        <f t="shared" si="3"/>
        <v>0</v>
      </c>
      <c r="I19" s="76" t="e">
        <f>H19/$H$94</f>
        <v>#DIV/0!</v>
      </c>
      <c r="K19" s="68">
        <f t="shared" si="0"/>
        <v>0</v>
      </c>
    </row>
    <row r="20" spans="1:11" x14ac:dyDescent="0.25">
      <c r="A20" s="12" t="s">
        <v>11</v>
      </c>
      <c r="B20" s="121"/>
      <c r="C20" s="122"/>
      <c r="D20" s="50" t="s">
        <v>62</v>
      </c>
      <c r="E20" s="240"/>
      <c r="F20" s="240"/>
      <c r="G20" s="240"/>
      <c r="H20" s="240"/>
      <c r="I20" s="52"/>
      <c r="K20" s="68"/>
    </row>
    <row r="21" spans="1:11" ht="38.25" x14ac:dyDescent="0.25">
      <c r="A21" s="7" t="s">
        <v>63</v>
      </c>
      <c r="B21" s="9" t="s">
        <v>109</v>
      </c>
      <c r="C21" s="9">
        <v>40339</v>
      </c>
      <c r="D21" s="38" t="s">
        <v>67</v>
      </c>
      <c r="E21" s="239" t="s">
        <v>46</v>
      </c>
      <c r="F21" s="104">
        <f>ROUND('M. CÁLCULO'!H48,2)</f>
        <v>106.74</v>
      </c>
      <c r="G21" s="105">
        <f>ROUND(K21,2)</f>
        <v>0</v>
      </c>
      <c r="H21" s="106">
        <f>ROUND(SUM(G21*F21),2)</f>
        <v>0</v>
      </c>
      <c r="I21" s="77" t="e">
        <f>H21/$H$94</f>
        <v>#DIV/0!</v>
      </c>
      <c r="K21" s="68">
        <f t="shared" si="0"/>
        <v>0</v>
      </c>
    </row>
    <row r="22" spans="1:11" ht="25.5" x14ac:dyDescent="0.25">
      <c r="A22" s="7" t="s">
        <v>64</v>
      </c>
      <c r="B22" s="9" t="s">
        <v>109</v>
      </c>
      <c r="C22" s="9">
        <v>40322</v>
      </c>
      <c r="D22" s="38" t="s">
        <v>58</v>
      </c>
      <c r="E22" s="239" t="s">
        <v>45</v>
      </c>
      <c r="F22" s="104">
        <f>ROUND('M. CÁLCULO'!H54,2)</f>
        <v>7.47</v>
      </c>
      <c r="G22" s="105">
        <f t="shared" ref="G22:G24" si="5">ROUND(K22,2)</f>
        <v>0</v>
      </c>
      <c r="H22" s="106">
        <f t="shared" ref="H22:H24" si="6">ROUND(SUM(G22*F22),2)</f>
        <v>0</v>
      </c>
      <c r="I22" s="77" t="e">
        <f>H22/$H$94</f>
        <v>#DIV/0!</v>
      </c>
      <c r="K22" s="68">
        <f t="shared" si="0"/>
        <v>0</v>
      </c>
    </row>
    <row r="23" spans="1:11" ht="25.5" x14ac:dyDescent="0.25">
      <c r="A23" s="7" t="s">
        <v>65</v>
      </c>
      <c r="B23" s="9" t="s">
        <v>109</v>
      </c>
      <c r="C23" s="9">
        <v>40333</v>
      </c>
      <c r="D23" s="38" t="s">
        <v>59</v>
      </c>
      <c r="E23" s="239" t="s">
        <v>60</v>
      </c>
      <c r="F23" s="104">
        <f>ROUND('M. CÁLCULO'!H60,2)</f>
        <v>124.54</v>
      </c>
      <c r="G23" s="105">
        <f t="shared" si="5"/>
        <v>0</v>
      </c>
      <c r="H23" s="106">
        <f t="shared" si="6"/>
        <v>0</v>
      </c>
      <c r="I23" s="77" t="e">
        <f>H23/$H$94</f>
        <v>#DIV/0!</v>
      </c>
      <c r="K23" s="68">
        <f t="shared" si="0"/>
        <v>0</v>
      </c>
    </row>
    <row r="24" spans="1:11" ht="25.5" x14ac:dyDescent="0.25">
      <c r="A24" s="7" t="s">
        <v>66</v>
      </c>
      <c r="B24" s="9" t="s">
        <v>109</v>
      </c>
      <c r="C24" s="9">
        <v>40328</v>
      </c>
      <c r="D24" s="38" t="s">
        <v>61</v>
      </c>
      <c r="E24" s="239" t="s">
        <v>60</v>
      </c>
      <c r="F24" s="104">
        <f>ROUND('M. CÁLCULO'!H66,2)</f>
        <v>297.13</v>
      </c>
      <c r="G24" s="105">
        <f t="shared" si="5"/>
        <v>0</v>
      </c>
      <c r="H24" s="106">
        <f t="shared" si="6"/>
        <v>0</v>
      </c>
      <c r="I24" s="77" t="e">
        <f>H24/$H$94</f>
        <v>#DIV/0!</v>
      </c>
      <c r="K24" s="68">
        <f t="shared" si="0"/>
        <v>0</v>
      </c>
    </row>
    <row r="25" spans="1:11" x14ac:dyDescent="0.25">
      <c r="A25" s="12" t="s">
        <v>34</v>
      </c>
      <c r="B25" s="121"/>
      <c r="C25" s="122"/>
      <c r="D25" s="50" t="s">
        <v>68</v>
      </c>
      <c r="E25" s="240"/>
      <c r="F25" s="240"/>
      <c r="G25" s="240"/>
      <c r="H25" s="240"/>
      <c r="I25" s="52"/>
      <c r="K25" s="68"/>
    </row>
    <row r="26" spans="1:11" ht="38.25" x14ac:dyDescent="0.25">
      <c r="A26" s="7" t="s">
        <v>70</v>
      </c>
      <c r="B26" s="9" t="s">
        <v>109</v>
      </c>
      <c r="C26" s="9">
        <v>50602</v>
      </c>
      <c r="D26" s="38" t="s">
        <v>97</v>
      </c>
      <c r="E26" s="239" t="s">
        <v>46</v>
      </c>
      <c r="F26" s="104">
        <f>ROUND('M. CÁLCULO'!H72,2)</f>
        <v>182.34</v>
      </c>
      <c r="G26" s="105">
        <f>ROUND(K26,2)</f>
        <v>0</v>
      </c>
      <c r="H26" s="106">
        <f>ROUND(SUM(G26*F26),2)</f>
        <v>0</v>
      </c>
      <c r="I26" s="77" t="e">
        <f>H26/$H$94</f>
        <v>#DIV/0!</v>
      </c>
      <c r="K26" s="68">
        <f t="shared" si="0"/>
        <v>0</v>
      </c>
    </row>
    <row r="27" spans="1:11" x14ac:dyDescent="0.25">
      <c r="A27" s="12" t="s">
        <v>35</v>
      </c>
      <c r="B27" s="121"/>
      <c r="C27" s="122"/>
      <c r="D27" s="50" t="s">
        <v>71</v>
      </c>
      <c r="E27" s="240"/>
      <c r="F27" s="240"/>
      <c r="G27" s="240"/>
      <c r="H27" s="240"/>
      <c r="I27" s="52"/>
      <c r="K27" s="68"/>
    </row>
    <row r="28" spans="1:11" ht="25.5" x14ac:dyDescent="0.25">
      <c r="A28" s="7" t="s">
        <v>75</v>
      </c>
      <c r="B28" s="9" t="s">
        <v>109</v>
      </c>
      <c r="C28" s="9">
        <v>120101</v>
      </c>
      <c r="D28" s="38" t="s">
        <v>28</v>
      </c>
      <c r="E28" s="239" t="s">
        <v>46</v>
      </c>
      <c r="F28" s="104">
        <f>ROUND('M. CÁLCULO'!H79,2)</f>
        <v>360.44</v>
      </c>
      <c r="G28" s="105">
        <f>ROUND(K28,2)</f>
        <v>0</v>
      </c>
      <c r="H28" s="106">
        <f>ROUND(SUM(G28*F28),2)</f>
        <v>0</v>
      </c>
      <c r="I28" s="77" t="e">
        <f>H28/$H$94</f>
        <v>#DIV/0!</v>
      </c>
      <c r="K28" s="68">
        <f t="shared" si="0"/>
        <v>0</v>
      </c>
    </row>
    <row r="29" spans="1:11" ht="25.5" x14ac:dyDescent="0.25">
      <c r="A29" s="7" t="s">
        <v>76</v>
      </c>
      <c r="B29" s="9" t="s">
        <v>109</v>
      </c>
      <c r="C29" s="9">
        <v>120303</v>
      </c>
      <c r="D29" s="38" t="s">
        <v>72</v>
      </c>
      <c r="E29" s="239" t="s">
        <v>46</v>
      </c>
      <c r="F29" s="104">
        <f>ROUND('M. CÁLCULO'!H80,2)</f>
        <v>360.44</v>
      </c>
      <c r="G29" s="105">
        <f t="shared" ref="G29:G31" si="7">ROUND(K29,2)</f>
        <v>0</v>
      </c>
      <c r="H29" s="106">
        <f t="shared" ref="H29:H31" si="8">ROUND(SUM(G29*F29),2)</f>
        <v>0</v>
      </c>
      <c r="I29" s="77" t="e">
        <f>H29/$H$94</f>
        <v>#DIV/0!</v>
      </c>
      <c r="K29" s="68">
        <f t="shared" si="0"/>
        <v>0</v>
      </c>
    </row>
    <row r="30" spans="1:11" ht="25.5" x14ac:dyDescent="0.25">
      <c r="A30" s="7" t="s">
        <v>77</v>
      </c>
      <c r="B30" s="100" t="s">
        <v>116</v>
      </c>
      <c r="C30" s="67" t="s">
        <v>117</v>
      </c>
      <c r="D30" s="38" t="s">
        <v>115</v>
      </c>
      <c r="E30" s="239" t="s">
        <v>73</v>
      </c>
      <c r="F30" s="104">
        <f>ROUND('M. CÁLCULO'!H81,2)</f>
        <v>64.989999999999995</v>
      </c>
      <c r="G30" s="105">
        <f t="shared" si="7"/>
        <v>0</v>
      </c>
      <c r="H30" s="106">
        <f t="shared" si="8"/>
        <v>0</v>
      </c>
      <c r="I30" s="77" t="e">
        <f>H30/$H$94</f>
        <v>#DIV/0!</v>
      </c>
      <c r="K30" s="68">
        <f t="shared" si="0"/>
        <v>0</v>
      </c>
    </row>
    <row r="31" spans="1:11" ht="25.5" x14ac:dyDescent="0.25">
      <c r="A31" s="7" t="s">
        <v>78</v>
      </c>
      <c r="B31" s="9" t="s">
        <v>109</v>
      </c>
      <c r="C31" s="9">
        <v>190106</v>
      </c>
      <c r="D31" s="38" t="s">
        <v>74</v>
      </c>
      <c r="E31" s="239" t="s">
        <v>46</v>
      </c>
      <c r="F31" s="104">
        <f>ROUND('M. CÁLCULO'!H82,2)</f>
        <v>360.44</v>
      </c>
      <c r="G31" s="105">
        <f t="shared" si="7"/>
        <v>0</v>
      </c>
      <c r="H31" s="106">
        <f t="shared" si="8"/>
        <v>0</v>
      </c>
      <c r="I31" s="77" t="e">
        <f>H31/$H$94</f>
        <v>#DIV/0!</v>
      </c>
      <c r="K31" s="68">
        <f t="shared" si="0"/>
        <v>0</v>
      </c>
    </row>
    <row r="32" spans="1:11" x14ac:dyDescent="0.25">
      <c r="A32" s="12" t="s">
        <v>36</v>
      </c>
      <c r="B32" s="121"/>
      <c r="C32" s="122"/>
      <c r="D32" s="50" t="s">
        <v>79</v>
      </c>
      <c r="E32" s="240"/>
      <c r="F32" s="240"/>
      <c r="G32" s="240"/>
      <c r="H32" s="240"/>
      <c r="I32" s="52"/>
      <c r="K32" s="68"/>
    </row>
    <row r="33" spans="1:11" x14ac:dyDescent="0.25">
      <c r="A33" s="7" t="s">
        <v>82</v>
      </c>
      <c r="B33" s="9" t="s">
        <v>109</v>
      </c>
      <c r="C33" s="9">
        <v>71106</v>
      </c>
      <c r="D33" s="38" t="s">
        <v>80</v>
      </c>
      <c r="E33" s="239" t="s">
        <v>46</v>
      </c>
      <c r="F33" s="104">
        <f>ROUND('M. CÁLCULO'!H84,2)</f>
        <v>10</v>
      </c>
      <c r="G33" s="105">
        <f>ROUND(K33,2)</f>
        <v>0</v>
      </c>
      <c r="H33" s="106">
        <f>ROUND(SUM(G33*F33),2)</f>
        <v>0</v>
      </c>
      <c r="I33" s="77" t="e">
        <f>H33/$H$94</f>
        <v>#DIV/0!</v>
      </c>
      <c r="K33" s="68">
        <f t="shared" si="0"/>
        <v>0</v>
      </c>
    </row>
    <row r="34" spans="1:11" ht="38.25" x14ac:dyDescent="0.25">
      <c r="A34" s="7" t="s">
        <v>83</v>
      </c>
      <c r="B34" s="9" t="s">
        <v>109</v>
      </c>
      <c r="C34" s="9">
        <v>190417</v>
      </c>
      <c r="D34" s="38" t="s">
        <v>81</v>
      </c>
      <c r="E34" s="239" t="s">
        <v>46</v>
      </c>
      <c r="F34" s="104">
        <f>ROUND('M. CÁLCULO'!H85,2)</f>
        <v>35.67</v>
      </c>
      <c r="G34" s="105">
        <f>ROUND(K34,2)</f>
        <v>0</v>
      </c>
      <c r="H34" s="106">
        <f t="shared" ref="H34:H35" si="9">ROUND(SUM(G34*F34),2)</f>
        <v>0</v>
      </c>
      <c r="I34" s="77" t="e">
        <f>H34/$H$94</f>
        <v>#DIV/0!</v>
      </c>
      <c r="K34" s="68">
        <f t="shared" si="0"/>
        <v>0</v>
      </c>
    </row>
    <row r="35" spans="1:11" x14ac:dyDescent="0.25">
      <c r="A35" s="7" t="s">
        <v>98</v>
      </c>
      <c r="B35" s="9" t="s">
        <v>109</v>
      </c>
      <c r="C35" s="9">
        <v>71104</v>
      </c>
      <c r="D35" s="38" t="s">
        <v>95</v>
      </c>
      <c r="E35" s="239" t="s">
        <v>46</v>
      </c>
      <c r="F35" s="104">
        <f>ROUND('M. CÁLCULO'!H86,2)</f>
        <v>1.89</v>
      </c>
      <c r="G35" s="105">
        <f>ROUND(K35,2)</f>
        <v>0</v>
      </c>
      <c r="H35" s="106">
        <f t="shared" si="9"/>
        <v>0</v>
      </c>
      <c r="I35" s="77" t="e">
        <f>H35/$H$94</f>
        <v>#DIV/0!</v>
      </c>
      <c r="K35" s="68">
        <f t="shared" si="0"/>
        <v>0</v>
      </c>
    </row>
    <row r="36" spans="1:11" x14ac:dyDescent="0.25">
      <c r="A36" s="10"/>
      <c r="B36" s="11"/>
      <c r="C36" s="11"/>
      <c r="D36" s="11"/>
      <c r="E36" s="241" t="s">
        <v>84</v>
      </c>
      <c r="F36" s="242"/>
      <c r="G36" s="242"/>
      <c r="H36" s="243">
        <f>SUM(H12:H35)</f>
        <v>0</v>
      </c>
      <c r="I36" s="78" t="e">
        <f>H36/$H$94</f>
        <v>#DIV/0!</v>
      </c>
      <c r="K36" s="68"/>
    </row>
    <row r="37" spans="1:11" x14ac:dyDescent="0.25">
      <c r="A37" s="12">
        <v>3</v>
      </c>
      <c r="B37" s="121"/>
      <c r="C37" s="122"/>
      <c r="D37" s="50" t="s">
        <v>85</v>
      </c>
      <c r="E37" s="240"/>
      <c r="F37" s="240"/>
      <c r="G37" s="240"/>
      <c r="H37" s="240"/>
      <c r="I37" s="52"/>
      <c r="K37" s="68"/>
    </row>
    <row r="38" spans="1:11" x14ac:dyDescent="0.25">
      <c r="A38" s="7" t="s">
        <v>10</v>
      </c>
      <c r="B38" s="9" t="s">
        <v>109</v>
      </c>
      <c r="C38" s="9">
        <v>71105</v>
      </c>
      <c r="D38" s="38" t="s">
        <v>86</v>
      </c>
      <c r="E38" s="239" t="s">
        <v>46</v>
      </c>
      <c r="F38" s="104">
        <f>ROUND('M. CÁLCULO'!H91,2)</f>
        <v>19.850000000000001</v>
      </c>
      <c r="G38" s="105">
        <f>ROUND(K38,2)</f>
        <v>0</v>
      </c>
      <c r="H38" s="106">
        <f>ROUND(SUM(G38*F38),2)</f>
        <v>0</v>
      </c>
      <c r="I38" s="77" t="e">
        <f>H38/$H$94</f>
        <v>#DIV/0!</v>
      </c>
      <c r="K38" s="68">
        <f t="shared" si="0"/>
        <v>0</v>
      </c>
    </row>
    <row r="39" spans="1:11" x14ac:dyDescent="0.25">
      <c r="A39" s="7" t="s">
        <v>12</v>
      </c>
      <c r="B39" s="9" t="s">
        <v>109</v>
      </c>
      <c r="C39" s="9">
        <v>71106</v>
      </c>
      <c r="D39" s="38" t="s">
        <v>80</v>
      </c>
      <c r="E39" s="239" t="s">
        <v>46</v>
      </c>
      <c r="F39" s="104">
        <f>ROUND('M. CÁLCULO'!H94,2)</f>
        <v>3.88</v>
      </c>
      <c r="G39" s="105">
        <f t="shared" ref="G39:G40" si="10">ROUND(K39,2)</f>
        <v>0</v>
      </c>
      <c r="H39" s="106">
        <f t="shared" ref="H39:H41" si="11">ROUND(SUM(G39*F39),2)</f>
        <v>0</v>
      </c>
      <c r="I39" s="77" t="e">
        <f>H39/$H$94</f>
        <v>#DIV/0!</v>
      </c>
      <c r="K39" s="68">
        <f t="shared" si="0"/>
        <v>0</v>
      </c>
    </row>
    <row r="40" spans="1:11" x14ac:dyDescent="0.25">
      <c r="A40" s="7" t="s">
        <v>16</v>
      </c>
      <c r="B40" s="9" t="s">
        <v>109</v>
      </c>
      <c r="C40" s="9">
        <v>71104</v>
      </c>
      <c r="D40" s="38" t="s">
        <v>95</v>
      </c>
      <c r="E40" s="239" t="s">
        <v>46</v>
      </c>
      <c r="F40" s="104">
        <f>ROUND('M. CÁLCULO'!H97,2)</f>
        <v>3.88</v>
      </c>
      <c r="G40" s="105">
        <f t="shared" si="10"/>
        <v>0</v>
      </c>
      <c r="H40" s="106">
        <f t="shared" si="11"/>
        <v>0</v>
      </c>
      <c r="I40" s="77" t="e">
        <f>H40/$H$94</f>
        <v>#DIV/0!</v>
      </c>
      <c r="K40" s="68">
        <f t="shared" si="0"/>
        <v>0</v>
      </c>
    </row>
    <row r="41" spans="1:11" ht="38.25" x14ac:dyDescent="0.25">
      <c r="A41" s="7" t="s">
        <v>27</v>
      </c>
      <c r="B41" s="9" t="s">
        <v>109</v>
      </c>
      <c r="C41" s="9">
        <v>190417</v>
      </c>
      <c r="D41" s="38" t="s">
        <v>81</v>
      </c>
      <c r="E41" s="239" t="s">
        <v>46</v>
      </c>
      <c r="F41" s="104">
        <f>ROUND('M. CÁLCULO'!H98,2)</f>
        <v>55.22</v>
      </c>
      <c r="G41" s="105">
        <f>ROUND(K41,2)</f>
        <v>0</v>
      </c>
      <c r="H41" s="106">
        <f t="shared" si="11"/>
        <v>0</v>
      </c>
      <c r="I41" s="77" t="e">
        <f>H41/$H$94</f>
        <v>#DIV/0!</v>
      </c>
      <c r="K41" s="68">
        <f t="shared" si="0"/>
        <v>0</v>
      </c>
    </row>
    <row r="42" spans="1:11" x14ac:dyDescent="0.25">
      <c r="A42" s="10"/>
      <c r="B42" s="11"/>
      <c r="C42" s="11"/>
      <c r="D42" s="11"/>
      <c r="E42" s="241" t="s">
        <v>87</v>
      </c>
      <c r="F42" s="242"/>
      <c r="G42" s="242"/>
      <c r="H42" s="243">
        <f>SUM(H38:H41)</f>
        <v>0</v>
      </c>
      <c r="I42" s="78" t="e">
        <f>H42/$H$94</f>
        <v>#DIV/0!</v>
      </c>
      <c r="K42" s="68"/>
    </row>
    <row r="43" spans="1:11" x14ac:dyDescent="0.25">
      <c r="A43" s="12">
        <v>4</v>
      </c>
      <c r="B43" s="121"/>
      <c r="C43" s="122"/>
      <c r="D43" s="50" t="s">
        <v>99</v>
      </c>
      <c r="E43" s="240"/>
      <c r="F43" s="240"/>
      <c r="G43" s="240"/>
      <c r="H43" s="240"/>
      <c r="I43" s="52"/>
      <c r="K43" s="68"/>
    </row>
    <row r="44" spans="1:11" x14ac:dyDescent="0.25">
      <c r="A44" s="7" t="s">
        <v>100</v>
      </c>
      <c r="B44" s="9" t="s">
        <v>109</v>
      </c>
      <c r="C44" s="9">
        <v>30101</v>
      </c>
      <c r="D44" s="38" t="s">
        <v>43</v>
      </c>
      <c r="E44" s="239" t="s">
        <v>45</v>
      </c>
      <c r="F44" s="104">
        <f>ROUND('M. CÁLCULO'!H100,2)</f>
        <v>4.5199999999999996</v>
      </c>
      <c r="G44" s="105">
        <f>ROUND(K44,2)</f>
        <v>0</v>
      </c>
      <c r="H44" s="106">
        <f>ROUND(SUM(G44*F44),2)</f>
        <v>0</v>
      </c>
      <c r="I44" s="77" t="e">
        <f t="shared" ref="I44:I53" si="12">H44/$H$94</f>
        <v>#DIV/0!</v>
      </c>
      <c r="K44" s="68">
        <f t="shared" si="0"/>
        <v>0</v>
      </c>
    </row>
    <row r="45" spans="1:11" ht="38.25" x14ac:dyDescent="0.25">
      <c r="A45" s="7" t="s">
        <v>101</v>
      </c>
      <c r="B45" s="9" t="s">
        <v>109</v>
      </c>
      <c r="C45" s="9">
        <v>40206</v>
      </c>
      <c r="D45" s="38" t="s">
        <v>53</v>
      </c>
      <c r="E45" s="239" t="s">
        <v>46</v>
      </c>
      <c r="F45" s="104">
        <f>ROUND('M. CÁLCULO'!H101,2)</f>
        <v>1.48</v>
      </c>
      <c r="G45" s="105">
        <f t="shared" ref="G45:G51" si="13">ROUND(K45,2)</f>
        <v>0</v>
      </c>
      <c r="H45" s="106">
        <f t="shared" ref="H45:H52" si="14">ROUND(SUM(G45*F45),2)</f>
        <v>0</v>
      </c>
      <c r="I45" s="77" t="e">
        <f t="shared" si="12"/>
        <v>#DIV/0!</v>
      </c>
      <c r="K45" s="68">
        <f t="shared" si="0"/>
        <v>0</v>
      </c>
    </row>
    <row r="46" spans="1:11" ht="25.5" x14ac:dyDescent="0.25">
      <c r="A46" s="7" t="s">
        <v>102</v>
      </c>
      <c r="B46" s="9" t="s">
        <v>109</v>
      </c>
      <c r="C46" s="9">
        <v>40237</v>
      </c>
      <c r="D46" s="38" t="s">
        <v>110</v>
      </c>
      <c r="E46" s="239" t="s">
        <v>45</v>
      </c>
      <c r="F46" s="104">
        <f>ROUND('M. CÁLCULO'!H102,2)</f>
        <v>0.33</v>
      </c>
      <c r="G46" s="105">
        <f t="shared" ref="G46:G50" si="15">ROUND(K46,2)</f>
        <v>0</v>
      </c>
      <c r="H46" s="106">
        <f t="shared" si="14"/>
        <v>0</v>
      </c>
      <c r="I46" s="77" t="e">
        <f t="shared" si="12"/>
        <v>#DIV/0!</v>
      </c>
      <c r="K46" s="68">
        <f t="shared" si="0"/>
        <v>0</v>
      </c>
    </row>
    <row r="47" spans="1:11" ht="25.5" x14ac:dyDescent="0.25">
      <c r="A47" s="7" t="s">
        <v>103</v>
      </c>
      <c r="B47" s="9" t="s">
        <v>109</v>
      </c>
      <c r="C47" s="9">
        <v>40246</v>
      </c>
      <c r="D47" s="38" t="s">
        <v>59</v>
      </c>
      <c r="E47" s="239" t="s">
        <v>60</v>
      </c>
      <c r="F47" s="104">
        <f>ROUND('M. CÁLCULO'!H103,2)</f>
        <v>19.8</v>
      </c>
      <c r="G47" s="105">
        <f t="shared" si="15"/>
        <v>0</v>
      </c>
      <c r="H47" s="106">
        <f t="shared" si="14"/>
        <v>0</v>
      </c>
      <c r="I47" s="77" t="e">
        <f t="shared" si="12"/>
        <v>#DIV/0!</v>
      </c>
      <c r="K47" s="68">
        <f t="shared" si="0"/>
        <v>0</v>
      </c>
    </row>
    <row r="48" spans="1:11" ht="38.25" x14ac:dyDescent="0.25">
      <c r="A48" s="7" t="s">
        <v>104</v>
      </c>
      <c r="B48" s="9" t="s">
        <v>109</v>
      </c>
      <c r="C48" s="9">
        <v>50501</v>
      </c>
      <c r="D48" s="38" t="s">
        <v>112</v>
      </c>
      <c r="E48" s="239" t="s">
        <v>46</v>
      </c>
      <c r="F48" s="104">
        <f>ROUND('M. CÁLCULO'!H104,2)</f>
        <v>5.36</v>
      </c>
      <c r="G48" s="105">
        <f t="shared" si="15"/>
        <v>0</v>
      </c>
      <c r="H48" s="106">
        <f t="shared" si="14"/>
        <v>0</v>
      </c>
      <c r="I48" s="77" t="e">
        <f t="shared" si="12"/>
        <v>#DIV/0!</v>
      </c>
      <c r="K48" s="68">
        <f t="shared" si="0"/>
        <v>0</v>
      </c>
    </row>
    <row r="49" spans="1:11" ht="25.5" x14ac:dyDescent="0.25">
      <c r="A49" s="7" t="s">
        <v>105</v>
      </c>
      <c r="B49" s="9" t="s">
        <v>109</v>
      </c>
      <c r="C49" s="9">
        <v>120101</v>
      </c>
      <c r="D49" s="38" t="s">
        <v>28</v>
      </c>
      <c r="E49" s="239" t="s">
        <v>46</v>
      </c>
      <c r="F49" s="104">
        <f>ROUND('M. CÁLCULO'!H105,2)</f>
        <v>2.2400000000000002</v>
      </c>
      <c r="G49" s="105">
        <f t="shared" si="15"/>
        <v>0</v>
      </c>
      <c r="H49" s="106">
        <f t="shared" si="14"/>
        <v>0</v>
      </c>
      <c r="I49" s="77" t="e">
        <f t="shared" si="12"/>
        <v>#DIV/0!</v>
      </c>
      <c r="K49" s="68">
        <f t="shared" si="0"/>
        <v>0</v>
      </c>
    </row>
    <row r="50" spans="1:11" ht="25.5" x14ac:dyDescent="0.25">
      <c r="A50" s="7" t="s">
        <v>106</v>
      </c>
      <c r="B50" s="9" t="s">
        <v>109</v>
      </c>
      <c r="C50" s="9">
        <v>120303</v>
      </c>
      <c r="D50" s="38" t="s">
        <v>72</v>
      </c>
      <c r="E50" s="239" t="s">
        <v>46</v>
      </c>
      <c r="F50" s="104">
        <f>ROUND('M. CÁLCULO'!H106,2)</f>
        <v>2.2400000000000002</v>
      </c>
      <c r="G50" s="105">
        <f t="shared" si="15"/>
        <v>0</v>
      </c>
      <c r="H50" s="106">
        <f t="shared" si="14"/>
        <v>0</v>
      </c>
      <c r="I50" s="77" t="e">
        <f t="shared" si="12"/>
        <v>#DIV/0!</v>
      </c>
      <c r="K50" s="68">
        <f t="shared" si="0"/>
        <v>0</v>
      </c>
    </row>
    <row r="51" spans="1:11" ht="25.5" x14ac:dyDescent="0.25">
      <c r="A51" s="7" t="s">
        <v>107</v>
      </c>
      <c r="B51" s="9" t="s">
        <v>109</v>
      </c>
      <c r="C51" s="9">
        <v>130202</v>
      </c>
      <c r="D51" s="38" t="s">
        <v>113</v>
      </c>
      <c r="E51" s="239" t="s">
        <v>46</v>
      </c>
      <c r="F51" s="104">
        <f>ROUND('M. CÁLCULO'!H107,2)</f>
        <v>3.98</v>
      </c>
      <c r="G51" s="105">
        <f t="shared" si="13"/>
        <v>0</v>
      </c>
      <c r="H51" s="106">
        <f t="shared" si="14"/>
        <v>0</v>
      </c>
      <c r="I51" s="77" t="e">
        <f t="shared" si="12"/>
        <v>#DIV/0!</v>
      </c>
      <c r="K51" s="68">
        <f t="shared" si="0"/>
        <v>0</v>
      </c>
    </row>
    <row r="52" spans="1:11" ht="25.5" x14ac:dyDescent="0.25">
      <c r="A52" s="7" t="s">
        <v>108</v>
      </c>
      <c r="B52" s="9" t="s">
        <v>109</v>
      </c>
      <c r="C52" s="9">
        <v>190106</v>
      </c>
      <c r="D52" s="38" t="s">
        <v>74</v>
      </c>
      <c r="E52" s="239" t="s">
        <v>46</v>
      </c>
      <c r="F52" s="104">
        <f>ROUND('M. CÁLCULO'!H108,2)</f>
        <v>2.2400000000000002</v>
      </c>
      <c r="G52" s="105">
        <f t="shared" ref="G52" si="16">ROUND(K52,2)</f>
        <v>0</v>
      </c>
      <c r="H52" s="106">
        <f t="shared" si="14"/>
        <v>0</v>
      </c>
      <c r="I52" s="77" t="e">
        <f t="shared" si="12"/>
        <v>#DIV/0!</v>
      </c>
      <c r="K52" s="68">
        <f t="shared" si="0"/>
        <v>0</v>
      </c>
    </row>
    <row r="53" spans="1:11" x14ac:dyDescent="0.25">
      <c r="A53" s="10"/>
      <c r="B53" s="11"/>
      <c r="C53" s="11"/>
      <c r="D53" s="11"/>
      <c r="E53" s="241" t="s">
        <v>111</v>
      </c>
      <c r="F53" s="242"/>
      <c r="G53" s="242"/>
      <c r="H53" s="243">
        <f>SUM(H44:H52)</f>
        <v>0</v>
      </c>
      <c r="I53" s="78" t="e">
        <f t="shared" si="12"/>
        <v>#DIV/0!</v>
      </c>
      <c r="K53" s="68"/>
    </row>
    <row r="54" spans="1:11" x14ac:dyDescent="0.25">
      <c r="A54" s="12">
        <v>5</v>
      </c>
      <c r="B54" s="121"/>
      <c r="C54" s="122"/>
      <c r="D54" s="50" t="s">
        <v>128</v>
      </c>
      <c r="E54" s="240"/>
      <c r="F54" s="240"/>
      <c r="G54" s="240"/>
      <c r="H54" s="240"/>
      <c r="I54" s="52"/>
      <c r="K54" s="68"/>
    </row>
    <row r="55" spans="1:11" x14ac:dyDescent="0.25">
      <c r="A55" s="7" t="s">
        <v>118</v>
      </c>
      <c r="B55" s="9" t="s">
        <v>109</v>
      </c>
      <c r="C55" s="9">
        <v>30101</v>
      </c>
      <c r="D55" s="38" t="s">
        <v>43</v>
      </c>
      <c r="E55" s="239" t="s">
        <v>45</v>
      </c>
      <c r="F55" s="104">
        <f>ROUND('M. CÁLCULO'!H112,2)</f>
        <v>2.2599999999999998</v>
      </c>
      <c r="G55" s="105">
        <f>ROUND(K55,2)</f>
        <v>0</v>
      </c>
      <c r="H55" s="106">
        <f>ROUND(SUM(G55*F55),2)</f>
        <v>0</v>
      </c>
      <c r="I55" s="77" t="e">
        <f t="shared" ref="I55:I94" si="17">H55/$H$94</f>
        <v>#DIV/0!</v>
      </c>
      <c r="K55" s="68">
        <f t="shared" si="0"/>
        <v>0</v>
      </c>
    </row>
    <row r="56" spans="1:11" ht="38.25" x14ac:dyDescent="0.25">
      <c r="A56" s="7" t="s">
        <v>119</v>
      </c>
      <c r="B56" s="9" t="s">
        <v>109</v>
      </c>
      <c r="C56" s="9">
        <v>40206</v>
      </c>
      <c r="D56" s="38" t="s">
        <v>53</v>
      </c>
      <c r="E56" s="239" t="s">
        <v>46</v>
      </c>
      <c r="F56" s="104">
        <f>ROUND('M. CÁLCULO'!H115,2)</f>
        <v>12.58</v>
      </c>
      <c r="G56" s="105">
        <f t="shared" ref="G56:G64" si="18">ROUND(K56,2)</f>
        <v>0</v>
      </c>
      <c r="H56" s="106">
        <f t="shared" ref="H56:H92" si="19">ROUND(SUM(G56*F56),2)</f>
        <v>0</v>
      </c>
      <c r="I56" s="77" t="e">
        <f t="shared" si="17"/>
        <v>#DIV/0!</v>
      </c>
      <c r="J56" s="99"/>
      <c r="K56" s="68">
        <f t="shared" si="0"/>
        <v>0</v>
      </c>
    </row>
    <row r="57" spans="1:11" ht="25.5" x14ac:dyDescent="0.25">
      <c r="A57" s="7" t="s">
        <v>120</v>
      </c>
      <c r="B57" s="9" t="s">
        <v>109</v>
      </c>
      <c r="C57" s="9">
        <v>40237</v>
      </c>
      <c r="D57" s="38" t="s">
        <v>110</v>
      </c>
      <c r="E57" s="239" t="s">
        <v>45</v>
      </c>
      <c r="F57" s="104">
        <f>ROUND('M. CÁLCULO'!H118,2)</f>
        <v>0.86</v>
      </c>
      <c r="G57" s="105">
        <f t="shared" si="18"/>
        <v>0</v>
      </c>
      <c r="H57" s="106">
        <f t="shared" si="19"/>
        <v>0</v>
      </c>
      <c r="I57" s="77" t="e">
        <f t="shared" si="17"/>
        <v>#DIV/0!</v>
      </c>
      <c r="K57" s="68">
        <f t="shared" si="0"/>
        <v>0</v>
      </c>
    </row>
    <row r="58" spans="1:11" ht="38.25" x14ac:dyDescent="0.25">
      <c r="A58" s="7" t="s">
        <v>121</v>
      </c>
      <c r="B58" s="9" t="s">
        <v>109</v>
      </c>
      <c r="C58" s="9">
        <v>40339</v>
      </c>
      <c r="D58" s="38" t="s">
        <v>67</v>
      </c>
      <c r="E58" s="239" t="s">
        <v>46</v>
      </c>
      <c r="F58" s="104">
        <f>ROUND('M. CÁLCULO'!H121,2)</f>
        <v>9.8699999999999992</v>
      </c>
      <c r="G58" s="105">
        <f t="shared" ref="G58:G61" si="20">ROUND(K58,2)</f>
        <v>0</v>
      </c>
      <c r="H58" s="106">
        <f t="shared" si="19"/>
        <v>0</v>
      </c>
      <c r="I58" s="77" t="e">
        <f t="shared" si="17"/>
        <v>#DIV/0!</v>
      </c>
      <c r="J58" s="99"/>
      <c r="K58" s="68">
        <f t="shared" ref="K58:K61" si="21">J58*1.3659</f>
        <v>0</v>
      </c>
    </row>
    <row r="59" spans="1:11" ht="25.5" x14ac:dyDescent="0.25">
      <c r="A59" s="7" t="s">
        <v>122</v>
      </c>
      <c r="B59" s="9" t="s">
        <v>109</v>
      </c>
      <c r="C59" s="9">
        <v>40246</v>
      </c>
      <c r="D59" s="38" t="s">
        <v>59</v>
      </c>
      <c r="E59" s="239" t="s">
        <v>60</v>
      </c>
      <c r="F59" s="104">
        <f>ROUND('M. CÁLCULO'!H122,2)</f>
        <v>36.29</v>
      </c>
      <c r="G59" s="105">
        <f t="shared" si="20"/>
        <v>0</v>
      </c>
      <c r="H59" s="106">
        <f t="shared" si="19"/>
        <v>0</v>
      </c>
      <c r="I59" s="77" t="e">
        <f t="shared" si="17"/>
        <v>#DIV/0!</v>
      </c>
      <c r="K59" s="68">
        <f t="shared" si="21"/>
        <v>0</v>
      </c>
    </row>
    <row r="60" spans="1:11" ht="25.5" x14ac:dyDescent="0.25">
      <c r="A60" s="7" t="s">
        <v>123</v>
      </c>
      <c r="B60" s="9" t="s">
        <v>109</v>
      </c>
      <c r="C60" s="9">
        <v>40243</v>
      </c>
      <c r="D60" s="38" t="s">
        <v>61</v>
      </c>
      <c r="E60" s="239" t="s">
        <v>60</v>
      </c>
      <c r="F60" s="104">
        <f>ROUND('M. CÁLCULO'!H123,2)</f>
        <v>2.27</v>
      </c>
      <c r="G60" s="105">
        <f t="shared" si="20"/>
        <v>0</v>
      </c>
      <c r="H60" s="106">
        <f t="shared" si="19"/>
        <v>0</v>
      </c>
      <c r="I60" s="77" t="e">
        <f t="shared" si="17"/>
        <v>#DIV/0!</v>
      </c>
      <c r="J60" s="99"/>
      <c r="K60" s="68">
        <f t="shared" si="21"/>
        <v>0</v>
      </c>
    </row>
    <row r="61" spans="1:11" ht="51" x14ac:dyDescent="0.25">
      <c r="A61" s="7" t="s">
        <v>124</v>
      </c>
      <c r="B61" s="9" t="s">
        <v>109</v>
      </c>
      <c r="C61" s="9">
        <v>50606</v>
      </c>
      <c r="D61" s="38" t="s">
        <v>132</v>
      </c>
      <c r="E61" s="239" t="s">
        <v>46</v>
      </c>
      <c r="F61" s="104">
        <f>ROUND('M. CÁLCULO'!H124,2)</f>
        <v>16.2</v>
      </c>
      <c r="G61" s="105">
        <f t="shared" si="20"/>
        <v>0</v>
      </c>
      <c r="H61" s="106">
        <f t="shared" si="19"/>
        <v>0</v>
      </c>
      <c r="I61" s="77" t="e">
        <f t="shared" si="17"/>
        <v>#DIV/0!</v>
      </c>
      <c r="K61" s="68">
        <f t="shared" si="21"/>
        <v>0</v>
      </c>
    </row>
    <row r="62" spans="1:11" ht="25.5" x14ac:dyDescent="0.25">
      <c r="A62" s="7" t="s">
        <v>125</v>
      </c>
      <c r="B62" s="9" t="s">
        <v>109</v>
      </c>
      <c r="C62" s="9">
        <v>120101</v>
      </c>
      <c r="D62" s="38" t="s">
        <v>28</v>
      </c>
      <c r="E62" s="239" t="s">
        <v>46</v>
      </c>
      <c r="F62" s="104">
        <f>ROUND('M. CÁLCULO'!H125,2)</f>
        <v>32.4</v>
      </c>
      <c r="G62" s="105">
        <f t="shared" si="18"/>
        <v>0</v>
      </c>
      <c r="H62" s="106">
        <f t="shared" si="19"/>
        <v>0</v>
      </c>
      <c r="I62" s="77" t="e">
        <f t="shared" si="17"/>
        <v>#DIV/0!</v>
      </c>
      <c r="J62" s="99"/>
      <c r="K62" s="68">
        <f t="shared" si="0"/>
        <v>0</v>
      </c>
    </row>
    <row r="63" spans="1:11" ht="25.5" x14ac:dyDescent="0.25">
      <c r="A63" s="7" t="s">
        <v>126</v>
      </c>
      <c r="B63" s="9" t="s">
        <v>109</v>
      </c>
      <c r="C63" s="9">
        <v>120303</v>
      </c>
      <c r="D63" s="38" t="s">
        <v>72</v>
      </c>
      <c r="E63" s="239" t="s">
        <v>46</v>
      </c>
      <c r="F63" s="104">
        <f>'M. CÁLCULO'!H126</f>
        <v>32.400000000000006</v>
      </c>
      <c r="G63" s="105">
        <f t="shared" si="18"/>
        <v>0</v>
      </c>
      <c r="H63" s="106">
        <f t="shared" si="19"/>
        <v>0</v>
      </c>
      <c r="I63" s="77" t="e">
        <f t="shared" si="17"/>
        <v>#DIV/0!</v>
      </c>
      <c r="K63" s="68">
        <f t="shared" si="0"/>
        <v>0</v>
      </c>
    </row>
    <row r="64" spans="1:11" ht="25.5" x14ac:dyDescent="0.25">
      <c r="A64" s="7" t="s">
        <v>130</v>
      </c>
      <c r="B64" s="9" t="s">
        <v>109</v>
      </c>
      <c r="C64" s="9">
        <v>190106</v>
      </c>
      <c r="D64" s="38" t="s">
        <v>74</v>
      </c>
      <c r="E64" s="239" t="s">
        <v>46</v>
      </c>
      <c r="F64" s="104">
        <f>ROUND('M. CÁLCULO'!H127,2)</f>
        <v>32.4</v>
      </c>
      <c r="G64" s="105">
        <f t="shared" si="18"/>
        <v>0</v>
      </c>
      <c r="H64" s="106">
        <f t="shared" si="19"/>
        <v>0</v>
      </c>
      <c r="I64" s="77" t="e">
        <f t="shared" si="17"/>
        <v>#DIV/0!</v>
      </c>
      <c r="J64" s="99"/>
      <c r="K64" s="68">
        <f t="shared" si="0"/>
        <v>0</v>
      </c>
    </row>
    <row r="65" spans="1:11" ht="25.5" x14ac:dyDescent="0.25">
      <c r="A65" s="7" t="s">
        <v>131</v>
      </c>
      <c r="B65" s="9" t="s">
        <v>109</v>
      </c>
      <c r="C65" s="9">
        <v>60103</v>
      </c>
      <c r="D65" s="38" t="s">
        <v>148</v>
      </c>
      <c r="E65" s="239" t="s">
        <v>149</v>
      </c>
      <c r="F65" s="104">
        <f>'M. CÁLCULO'!H128</f>
        <v>1</v>
      </c>
      <c r="G65" s="105">
        <f t="shared" ref="G65:G81" si="22">ROUND(K65,2)</f>
        <v>0</v>
      </c>
      <c r="H65" s="106">
        <f t="shared" si="19"/>
        <v>0</v>
      </c>
      <c r="I65" s="77" t="e">
        <f t="shared" si="17"/>
        <v>#DIV/0!</v>
      </c>
      <c r="K65" s="68">
        <f t="shared" si="0"/>
        <v>0</v>
      </c>
    </row>
    <row r="66" spans="1:11" ht="51" x14ac:dyDescent="0.25">
      <c r="A66" s="7" t="s">
        <v>133</v>
      </c>
      <c r="B66" s="9" t="s">
        <v>109</v>
      </c>
      <c r="C66" s="9">
        <v>61303</v>
      </c>
      <c r="D66" s="38" t="s">
        <v>150</v>
      </c>
      <c r="E66" s="239" t="s">
        <v>149</v>
      </c>
      <c r="F66" s="104">
        <f>'M. CÁLCULO'!H129</f>
        <v>1</v>
      </c>
      <c r="G66" s="105">
        <f t="shared" si="22"/>
        <v>0</v>
      </c>
      <c r="H66" s="106">
        <f t="shared" si="19"/>
        <v>0</v>
      </c>
      <c r="I66" s="77" t="e">
        <f t="shared" si="17"/>
        <v>#DIV/0!</v>
      </c>
      <c r="J66" s="99"/>
      <c r="K66" s="68">
        <f t="shared" si="0"/>
        <v>0</v>
      </c>
    </row>
    <row r="67" spans="1:11" ht="25.5" x14ac:dyDescent="0.25">
      <c r="A67" s="7" t="s">
        <v>134</v>
      </c>
      <c r="B67" s="9" t="s">
        <v>109</v>
      </c>
      <c r="C67" s="9">
        <v>71702</v>
      </c>
      <c r="D67" s="38" t="s">
        <v>151</v>
      </c>
      <c r="E67" s="239" t="s">
        <v>46</v>
      </c>
      <c r="F67" s="104">
        <f>ROUND('M. CÁLCULO'!H130,2)</f>
        <v>0.42</v>
      </c>
      <c r="G67" s="105">
        <f t="shared" si="22"/>
        <v>0</v>
      </c>
      <c r="H67" s="106">
        <f t="shared" si="19"/>
        <v>0</v>
      </c>
      <c r="I67" s="77" t="e">
        <f t="shared" si="17"/>
        <v>#DIV/0!</v>
      </c>
      <c r="K67" s="68">
        <f t="shared" si="0"/>
        <v>0</v>
      </c>
    </row>
    <row r="68" spans="1:11" x14ac:dyDescent="0.25">
      <c r="A68" s="7" t="s">
        <v>135</v>
      </c>
      <c r="B68" s="9" t="s">
        <v>109</v>
      </c>
      <c r="C68" s="9">
        <v>80102</v>
      </c>
      <c r="D68" s="38" t="s">
        <v>152</v>
      </c>
      <c r="E68" s="239" t="s">
        <v>46</v>
      </c>
      <c r="F68" s="104">
        <f>ROUND('M. CÁLCULO'!H131,2)</f>
        <v>0.42</v>
      </c>
      <c r="G68" s="105">
        <f t="shared" si="22"/>
        <v>0</v>
      </c>
      <c r="H68" s="106">
        <f t="shared" si="19"/>
        <v>0</v>
      </c>
      <c r="I68" s="77" t="e">
        <f t="shared" si="17"/>
        <v>#DIV/0!</v>
      </c>
      <c r="J68" s="99"/>
      <c r="K68" s="68">
        <f>J68*1.1557</f>
        <v>0</v>
      </c>
    </row>
    <row r="69" spans="1:11" ht="30.75" customHeight="1" x14ac:dyDescent="0.25">
      <c r="A69" s="7" t="s">
        <v>136</v>
      </c>
      <c r="B69" s="9" t="s">
        <v>109</v>
      </c>
      <c r="C69" s="9">
        <v>110210</v>
      </c>
      <c r="D69" s="38" t="s">
        <v>153</v>
      </c>
      <c r="E69" s="239" t="s">
        <v>46</v>
      </c>
      <c r="F69" s="104">
        <f>ROUND('M. CÁLCULO'!H132,2)</f>
        <v>25.65</v>
      </c>
      <c r="G69" s="105">
        <f t="shared" si="22"/>
        <v>0</v>
      </c>
      <c r="H69" s="106">
        <f t="shared" si="19"/>
        <v>0</v>
      </c>
      <c r="I69" s="77" t="e">
        <f t="shared" si="17"/>
        <v>#DIV/0!</v>
      </c>
      <c r="K69" s="68">
        <f>J69*1.1557</f>
        <v>0</v>
      </c>
    </row>
    <row r="70" spans="1:11" x14ac:dyDescent="0.25">
      <c r="A70" s="7" t="s">
        <v>137</v>
      </c>
      <c r="B70" s="9" t="s">
        <v>109</v>
      </c>
      <c r="C70" s="9">
        <v>130110</v>
      </c>
      <c r="D70" s="38" t="s">
        <v>154</v>
      </c>
      <c r="E70" s="239" t="s">
        <v>46</v>
      </c>
      <c r="F70" s="104">
        <f>ROUND('M. CÁLCULO'!H133,2)</f>
        <v>25.65</v>
      </c>
      <c r="G70" s="105">
        <f t="shared" si="22"/>
        <v>0</v>
      </c>
      <c r="H70" s="106">
        <f t="shared" si="19"/>
        <v>0</v>
      </c>
      <c r="I70" s="77" t="e">
        <f t="shared" si="17"/>
        <v>#DIV/0!</v>
      </c>
      <c r="J70" s="99"/>
      <c r="K70" s="68">
        <f t="shared" si="0"/>
        <v>0</v>
      </c>
    </row>
    <row r="71" spans="1:11" ht="25.5" x14ac:dyDescent="0.25">
      <c r="A71" s="7" t="s">
        <v>138</v>
      </c>
      <c r="B71" s="9" t="s">
        <v>109</v>
      </c>
      <c r="C71" s="9">
        <v>130103</v>
      </c>
      <c r="D71" s="38" t="s">
        <v>155</v>
      </c>
      <c r="E71" s="239" t="s">
        <v>46</v>
      </c>
      <c r="F71" s="104">
        <f>ROUND('M. CÁLCULO'!H134,2)</f>
        <v>25.65</v>
      </c>
      <c r="G71" s="105">
        <f t="shared" si="22"/>
        <v>0</v>
      </c>
      <c r="H71" s="106">
        <f t="shared" si="19"/>
        <v>0</v>
      </c>
      <c r="I71" s="77" t="e">
        <f t="shared" si="17"/>
        <v>#DIV/0!</v>
      </c>
      <c r="K71" s="68">
        <f t="shared" si="0"/>
        <v>0</v>
      </c>
    </row>
    <row r="72" spans="1:11" ht="38.25" x14ac:dyDescent="0.25">
      <c r="A72" s="7" t="s">
        <v>139</v>
      </c>
      <c r="B72" s="9" t="s">
        <v>109</v>
      </c>
      <c r="C72" s="9">
        <v>130236</v>
      </c>
      <c r="D72" s="38" t="s">
        <v>156</v>
      </c>
      <c r="E72" s="239" t="s">
        <v>46</v>
      </c>
      <c r="F72" s="104">
        <f>ROUND('M. CÁLCULO'!H135,2)</f>
        <v>25.65</v>
      </c>
      <c r="G72" s="105">
        <f t="shared" si="22"/>
        <v>0</v>
      </c>
      <c r="H72" s="106">
        <f t="shared" si="19"/>
        <v>0</v>
      </c>
      <c r="I72" s="77" t="e">
        <f t="shared" si="17"/>
        <v>#DIV/0!</v>
      </c>
      <c r="J72" s="99"/>
      <c r="K72" s="68">
        <f t="shared" si="0"/>
        <v>0</v>
      </c>
    </row>
    <row r="73" spans="1:11" ht="25.5" x14ac:dyDescent="0.25">
      <c r="A73" s="7" t="s">
        <v>140</v>
      </c>
      <c r="B73" s="9" t="s">
        <v>109</v>
      </c>
      <c r="C73" s="9">
        <v>130320</v>
      </c>
      <c r="D73" s="38" t="s">
        <v>171</v>
      </c>
      <c r="E73" s="239" t="s">
        <v>73</v>
      </c>
      <c r="F73" s="104">
        <f>ROUND('M. CÁLCULO'!H136,2)</f>
        <v>18.25</v>
      </c>
      <c r="G73" s="105">
        <f t="shared" ref="G73" si="23">ROUND(K73,2)</f>
        <v>0</v>
      </c>
      <c r="H73" s="106">
        <f t="shared" si="19"/>
        <v>0</v>
      </c>
      <c r="I73" s="77" t="e">
        <f t="shared" si="17"/>
        <v>#DIV/0!</v>
      </c>
      <c r="J73" s="99"/>
      <c r="K73" s="68">
        <f t="shared" si="0"/>
        <v>0</v>
      </c>
    </row>
    <row r="74" spans="1:11" ht="38.25" x14ac:dyDescent="0.25">
      <c r="A74" s="7" t="s">
        <v>141</v>
      </c>
      <c r="B74" s="9" t="s">
        <v>116</v>
      </c>
      <c r="C74" s="9">
        <v>92602</v>
      </c>
      <c r="D74" s="38" t="s">
        <v>157</v>
      </c>
      <c r="E74" s="239" t="s">
        <v>149</v>
      </c>
      <c r="F74" s="104">
        <f>'M. CÁLCULO'!H137</f>
        <v>4</v>
      </c>
      <c r="G74" s="105">
        <f t="shared" si="22"/>
        <v>0</v>
      </c>
      <c r="H74" s="106">
        <f t="shared" si="19"/>
        <v>0</v>
      </c>
      <c r="I74" s="77" t="e">
        <f t="shared" si="17"/>
        <v>#DIV/0!</v>
      </c>
      <c r="K74" s="68">
        <f t="shared" si="0"/>
        <v>0</v>
      </c>
    </row>
    <row r="75" spans="1:11" ht="38.25" x14ac:dyDescent="0.25">
      <c r="A75" s="7" t="s">
        <v>142</v>
      </c>
      <c r="B75" s="9" t="s">
        <v>116</v>
      </c>
      <c r="C75" s="9">
        <v>104314</v>
      </c>
      <c r="D75" s="38" t="s">
        <v>191</v>
      </c>
      <c r="E75" s="239" t="s">
        <v>46</v>
      </c>
      <c r="F75" s="104">
        <f>ROUND('M. CÁLCULO'!H138,2)</f>
        <v>34.46</v>
      </c>
      <c r="G75" s="105">
        <f t="shared" si="22"/>
        <v>0</v>
      </c>
      <c r="H75" s="106">
        <f t="shared" si="19"/>
        <v>0</v>
      </c>
      <c r="I75" s="77" t="e">
        <f t="shared" si="17"/>
        <v>#DIV/0!</v>
      </c>
      <c r="J75" s="99"/>
      <c r="K75" s="68">
        <f t="shared" si="0"/>
        <v>0</v>
      </c>
    </row>
    <row r="76" spans="1:11" ht="25.5" x14ac:dyDescent="0.25">
      <c r="A76" s="7" t="s">
        <v>143</v>
      </c>
      <c r="B76" s="9" t="s">
        <v>116</v>
      </c>
      <c r="C76" s="9">
        <v>94216</v>
      </c>
      <c r="D76" s="38" t="s">
        <v>159</v>
      </c>
      <c r="E76" s="239" t="s">
        <v>46</v>
      </c>
      <c r="F76" s="104">
        <f>ROUND('M. CÁLCULO'!H139,2)</f>
        <v>34.46</v>
      </c>
      <c r="G76" s="105">
        <f t="shared" si="22"/>
        <v>0</v>
      </c>
      <c r="H76" s="106">
        <f t="shared" si="19"/>
        <v>0</v>
      </c>
      <c r="I76" s="77" t="e">
        <f t="shared" si="17"/>
        <v>#DIV/0!</v>
      </c>
      <c r="K76" s="68">
        <f t="shared" si="0"/>
        <v>0</v>
      </c>
    </row>
    <row r="77" spans="1:11" ht="25.5" x14ac:dyDescent="0.25">
      <c r="A77" s="7" t="s">
        <v>144</v>
      </c>
      <c r="B77" s="9" t="s">
        <v>109</v>
      </c>
      <c r="C77" s="9">
        <v>90301</v>
      </c>
      <c r="D77" s="38" t="s">
        <v>169</v>
      </c>
      <c r="E77" s="239" t="s">
        <v>73</v>
      </c>
      <c r="F77" s="104">
        <f>ROUND('M. CÁLCULO'!H140,2)</f>
        <v>15.65</v>
      </c>
      <c r="G77" s="105">
        <f t="shared" si="22"/>
        <v>0</v>
      </c>
      <c r="H77" s="106">
        <f t="shared" si="19"/>
        <v>0</v>
      </c>
      <c r="I77" s="77" t="e">
        <f t="shared" si="17"/>
        <v>#DIV/0!</v>
      </c>
      <c r="J77" s="99"/>
      <c r="K77" s="68">
        <f t="shared" si="0"/>
        <v>0</v>
      </c>
    </row>
    <row r="78" spans="1:11" ht="25.5" x14ac:dyDescent="0.25">
      <c r="A78" s="7" t="s">
        <v>145</v>
      </c>
      <c r="B78" s="100" t="s">
        <v>116</v>
      </c>
      <c r="C78" s="67" t="s">
        <v>117</v>
      </c>
      <c r="D78" s="38" t="s">
        <v>115</v>
      </c>
      <c r="E78" s="239" t="s">
        <v>73</v>
      </c>
      <c r="F78" s="104">
        <f>ROUND('M. CÁLCULO'!H141,2)</f>
        <v>77.599999999999994</v>
      </c>
      <c r="G78" s="105">
        <f t="shared" si="22"/>
        <v>0</v>
      </c>
      <c r="H78" s="106">
        <f t="shared" si="19"/>
        <v>0</v>
      </c>
      <c r="I78" s="77" t="e">
        <f t="shared" si="17"/>
        <v>#DIV/0!</v>
      </c>
      <c r="K78" s="68">
        <f t="shared" si="0"/>
        <v>0</v>
      </c>
    </row>
    <row r="79" spans="1:11" ht="38.25" x14ac:dyDescent="0.25">
      <c r="A79" s="7" t="s">
        <v>146</v>
      </c>
      <c r="B79" s="9" t="s">
        <v>109</v>
      </c>
      <c r="C79" s="9">
        <v>151802</v>
      </c>
      <c r="D79" s="38" t="s">
        <v>172</v>
      </c>
      <c r="E79" s="239" t="s">
        <v>149</v>
      </c>
      <c r="F79" s="104">
        <f>'M. CÁLCULO'!H142</f>
        <v>9</v>
      </c>
      <c r="G79" s="105">
        <f t="shared" si="22"/>
        <v>0</v>
      </c>
      <c r="H79" s="106">
        <f t="shared" si="19"/>
        <v>0</v>
      </c>
      <c r="I79" s="77" t="e">
        <f t="shared" si="17"/>
        <v>#DIV/0!</v>
      </c>
      <c r="J79" s="99"/>
      <c r="K79" s="68">
        <f t="shared" si="0"/>
        <v>0</v>
      </c>
    </row>
    <row r="80" spans="1:11" ht="38.25" x14ac:dyDescent="0.25">
      <c r="A80" s="7" t="s">
        <v>147</v>
      </c>
      <c r="B80" s="9" t="s">
        <v>109</v>
      </c>
      <c r="C80" s="9">
        <v>151807</v>
      </c>
      <c r="D80" s="38" t="s">
        <v>173</v>
      </c>
      <c r="E80" s="239" t="s">
        <v>149</v>
      </c>
      <c r="F80" s="104">
        <f>'M. CÁLCULO'!H143</f>
        <v>12</v>
      </c>
      <c r="G80" s="105">
        <f t="shared" si="22"/>
        <v>0</v>
      </c>
      <c r="H80" s="106">
        <f t="shared" si="19"/>
        <v>0</v>
      </c>
      <c r="I80" s="77" t="e">
        <f t="shared" si="17"/>
        <v>#DIV/0!</v>
      </c>
      <c r="K80" s="68">
        <f t="shared" si="0"/>
        <v>0</v>
      </c>
    </row>
    <row r="81" spans="1:11" ht="38.25" x14ac:dyDescent="0.25">
      <c r="A81" s="7" t="s">
        <v>160</v>
      </c>
      <c r="B81" s="9" t="s">
        <v>109</v>
      </c>
      <c r="C81" s="9">
        <v>151801</v>
      </c>
      <c r="D81" s="38" t="s">
        <v>174</v>
      </c>
      <c r="E81" s="239" t="s">
        <v>149</v>
      </c>
      <c r="F81" s="104">
        <f>'M. CÁLCULO'!H144</f>
        <v>3</v>
      </c>
      <c r="G81" s="105">
        <f t="shared" si="22"/>
        <v>0</v>
      </c>
      <c r="H81" s="106">
        <f t="shared" si="19"/>
        <v>0</v>
      </c>
      <c r="I81" s="77" t="e">
        <f t="shared" si="17"/>
        <v>#DIV/0!</v>
      </c>
      <c r="J81" s="99"/>
      <c r="K81" s="68">
        <f t="shared" si="0"/>
        <v>0</v>
      </c>
    </row>
    <row r="82" spans="1:11" ht="38.25" x14ac:dyDescent="0.25">
      <c r="A82" s="7" t="s">
        <v>161</v>
      </c>
      <c r="B82" s="9" t="s">
        <v>109</v>
      </c>
      <c r="C82" s="9">
        <v>151815</v>
      </c>
      <c r="D82" s="38" t="s">
        <v>175</v>
      </c>
      <c r="E82" s="239" t="s">
        <v>149</v>
      </c>
      <c r="F82" s="104">
        <f>'M. CÁLCULO'!H145</f>
        <v>8</v>
      </c>
      <c r="G82" s="105">
        <f t="shared" ref="G82:G90" si="24">ROUND(K82,2)</f>
        <v>0</v>
      </c>
      <c r="H82" s="106">
        <f t="shared" si="19"/>
        <v>0</v>
      </c>
      <c r="I82" s="77" t="e">
        <f t="shared" si="17"/>
        <v>#DIV/0!</v>
      </c>
      <c r="K82" s="68">
        <f t="shared" si="0"/>
        <v>0</v>
      </c>
    </row>
    <row r="83" spans="1:11" ht="38.25" x14ac:dyDescent="0.25">
      <c r="A83" s="7" t="s">
        <v>162</v>
      </c>
      <c r="B83" s="9" t="s">
        <v>109</v>
      </c>
      <c r="C83" s="9">
        <v>151805</v>
      </c>
      <c r="D83" s="38" t="s">
        <v>176</v>
      </c>
      <c r="E83" s="239" t="s">
        <v>149</v>
      </c>
      <c r="F83" s="104">
        <f>'M. CÁLCULO'!H146</f>
        <v>1</v>
      </c>
      <c r="G83" s="105">
        <f t="shared" si="24"/>
        <v>0</v>
      </c>
      <c r="H83" s="106">
        <f t="shared" si="19"/>
        <v>0</v>
      </c>
      <c r="I83" s="77" t="e">
        <f t="shared" si="17"/>
        <v>#DIV/0!</v>
      </c>
      <c r="J83" s="99"/>
      <c r="K83" s="68">
        <f t="shared" si="0"/>
        <v>0</v>
      </c>
    </row>
    <row r="84" spans="1:11" ht="51" x14ac:dyDescent="0.25">
      <c r="A84" s="7" t="s">
        <v>163</v>
      </c>
      <c r="B84" s="9" t="s">
        <v>109</v>
      </c>
      <c r="C84" s="9">
        <v>151811</v>
      </c>
      <c r="D84" s="38" t="s">
        <v>177</v>
      </c>
      <c r="E84" s="239" t="s">
        <v>149</v>
      </c>
      <c r="F84" s="104">
        <f>'M. CÁLCULO'!H147</f>
        <v>2</v>
      </c>
      <c r="G84" s="105">
        <f t="shared" si="24"/>
        <v>0</v>
      </c>
      <c r="H84" s="106">
        <f t="shared" si="19"/>
        <v>0</v>
      </c>
      <c r="I84" s="77" t="e">
        <f t="shared" si="17"/>
        <v>#DIV/0!</v>
      </c>
      <c r="K84" s="68">
        <f t="shared" si="0"/>
        <v>0</v>
      </c>
    </row>
    <row r="85" spans="1:11" x14ac:dyDescent="0.25">
      <c r="A85" s="7" t="s">
        <v>164</v>
      </c>
      <c r="B85" s="9" t="s">
        <v>109</v>
      </c>
      <c r="C85" s="9">
        <v>180110</v>
      </c>
      <c r="D85" s="38" t="s">
        <v>180</v>
      </c>
      <c r="E85" s="239" t="s">
        <v>149</v>
      </c>
      <c r="F85" s="104">
        <f>'M. CÁLCULO'!H148</f>
        <v>9</v>
      </c>
      <c r="G85" s="105">
        <f t="shared" si="24"/>
        <v>0</v>
      </c>
      <c r="H85" s="106">
        <f t="shared" si="19"/>
        <v>0</v>
      </c>
      <c r="I85" s="77" t="e">
        <f t="shared" si="17"/>
        <v>#DIV/0!</v>
      </c>
      <c r="J85" s="99"/>
      <c r="K85" s="68">
        <f t="shared" si="0"/>
        <v>0</v>
      </c>
    </row>
    <row r="86" spans="1:11" ht="25.5" x14ac:dyDescent="0.25">
      <c r="A86" s="7" t="s">
        <v>165</v>
      </c>
      <c r="B86" s="9" t="s">
        <v>109</v>
      </c>
      <c r="C86" s="9">
        <v>180207</v>
      </c>
      <c r="D86" s="38" t="s">
        <v>181</v>
      </c>
      <c r="E86" s="239" t="s">
        <v>149</v>
      </c>
      <c r="F86" s="104">
        <f>'M. CÁLCULO'!H149</f>
        <v>5</v>
      </c>
      <c r="G86" s="105">
        <f t="shared" si="24"/>
        <v>0</v>
      </c>
      <c r="H86" s="106">
        <f t="shared" si="19"/>
        <v>0</v>
      </c>
      <c r="I86" s="77" t="e">
        <f t="shared" si="17"/>
        <v>#DIV/0!</v>
      </c>
      <c r="K86" s="68">
        <f t="shared" si="0"/>
        <v>0</v>
      </c>
    </row>
    <row r="87" spans="1:11" x14ac:dyDescent="0.25">
      <c r="A87" s="7" t="s">
        <v>166</v>
      </c>
      <c r="B87" s="9" t="s">
        <v>183</v>
      </c>
      <c r="C87" s="9">
        <v>7811</v>
      </c>
      <c r="D87" s="38" t="s">
        <v>182</v>
      </c>
      <c r="E87" s="239" t="s">
        <v>149</v>
      </c>
      <c r="F87" s="104">
        <f>'M. CÁLCULO'!H150</f>
        <v>8</v>
      </c>
      <c r="G87" s="105">
        <f t="shared" si="24"/>
        <v>0</v>
      </c>
      <c r="H87" s="106">
        <f t="shared" si="19"/>
        <v>0</v>
      </c>
      <c r="I87" s="77" t="e">
        <f t="shared" si="17"/>
        <v>#DIV/0!</v>
      </c>
      <c r="J87" s="99"/>
      <c r="K87" s="68">
        <f t="shared" si="0"/>
        <v>0</v>
      </c>
    </row>
    <row r="88" spans="1:11" x14ac:dyDescent="0.25">
      <c r="A88" s="7" t="s">
        <v>167</v>
      </c>
      <c r="B88" s="9" t="s">
        <v>183</v>
      </c>
      <c r="C88" s="9">
        <v>810</v>
      </c>
      <c r="D88" s="38" t="s">
        <v>188</v>
      </c>
      <c r="E88" s="239" t="s">
        <v>149</v>
      </c>
      <c r="F88" s="104">
        <f>'M. CÁLCULO'!H151</f>
        <v>12</v>
      </c>
      <c r="G88" s="105">
        <f t="shared" si="24"/>
        <v>0</v>
      </c>
      <c r="H88" s="106">
        <f t="shared" si="19"/>
        <v>0</v>
      </c>
      <c r="I88" s="77" t="e">
        <f t="shared" si="17"/>
        <v>#DIV/0!</v>
      </c>
      <c r="K88" s="68">
        <f t="shared" si="0"/>
        <v>0</v>
      </c>
    </row>
    <row r="89" spans="1:11" ht="51" x14ac:dyDescent="0.25">
      <c r="A89" s="7" t="s">
        <v>168</v>
      </c>
      <c r="B89" s="9" t="s">
        <v>109</v>
      </c>
      <c r="C89" s="9">
        <v>181002</v>
      </c>
      <c r="D89" s="38" t="s">
        <v>184</v>
      </c>
      <c r="E89" s="239" t="s">
        <v>149</v>
      </c>
      <c r="F89" s="104">
        <f>'M. CÁLCULO'!H152</f>
        <v>3</v>
      </c>
      <c r="G89" s="105">
        <f t="shared" si="24"/>
        <v>0</v>
      </c>
      <c r="H89" s="106">
        <f t="shared" si="19"/>
        <v>0</v>
      </c>
      <c r="I89" s="77" t="e">
        <f t="shared" si="17"/>
        <v>#DIV/0!</v>
      </c>
      <c r="J89" s="99"/>
      <c r="K89" s="68">
        <f t="shared" si="0"/>
        <v>0</v>
      </c>
    </row>
    <row r="90" spans="1:11" ht="25.5" x14ac:dyDescent="0.25">
      <c r="A90" s="7" t="s">
        <v>170</v>
      </c>
      <c r="B90" s="9" t="s">
        <v>109</v>
      </c>
      <c r="C90" s="9">
        <v>200326</v>
      </c>
      <c r="D90" s="38" t="s">
        <v>185</v>
      </c>
      <c r="E90" s="239" t="s">
        <v>46</v>
      </c>
      <c r="F90" s="104">
        <f>ROUND('M. CÁLCULO'!H153,2)</f>
        <v>562.79</v>
      </c>
      <c r="G90" s="105">
        <f t="shared" si="24"/>
        <v>0</v>
      </c>
      <c r="H90" s="106">
        <f t="shared" si="19"/>
        <v>0</v>
      </c>
      <c r="I90" s="77" t="e">
        <f t="shared" si="17"/>
        <v>#DIV/0!</v>
      </c>
      <c r="K90" s="68">
        <f t="shared" si="0"/>
        <v>0</v>
      </c>
    </row>
    <row r="91" spans="1:11" x14ac:dyDescent="0.25">
      <c r="A91" s="7" t="s">
        <v>178</v>
      </c>
      <c r="B91" s="9" t="s">
        <v>109</v>
      </c>
      <c r="C91" s="9">
        <v>200305</v>
      </c>
      <c r="D91" s="38" t="s">
        <v>186</v>
      </c>
      <c r="E91" s="239" t="s">
        <v>45</v>
      </c>
      <c r="F91" s="104">
        <f>ROUND('M. CÁLCULO'!H154,2)</f>
        <v>14</v>
      </c>
      <c r="G91" s="105">
        <f t="shared" ref="G91:G92" si="25">ROUND(K91,2)</f>
        <v>0</v>
      </c>
      <c r="H91" s="106">
        <f t="shared" si="19"/>
        <v>0</v>
      </c>
      <c r="I91" s="77" t="e">
        <f t="shared" si="17"/>
        <v>#DIV/0!</v>
      </c>
      <c r="J91" s="99"/>
      <c r="K91" s="68">
        <f t="shared" si="0"/>
        <v>0</v>
      </c>
    </row>
    <row r="92" spans="1:11" ht="38.25" x14ac:dyDescent="0.25">
      <c r="A92" s="7" t="s">
        <v>179</v>
      </c>
      <c r="B92" s="9" t="s">
        <v>183</v>
      </c>
      <c r="C92" s="9">
        <v>12385</v>
      </c>
      <c r="D92" s="38" t="s">
        <v>187</v>
      </c>
      <c r="E92" s="239" t="s">
        <v>73</v>
      </c>
      <c r="F92" s="104">
        <f>ROUND('M. CÁLCULO'!H155,2)</f>
        <v>9.75</v>
      </c>
      <c r="G92" s="105">
        <f t="shared" si="25"/>
        <v>0</v>
      </c>
      <c r="H92" s="106">
        <f t="shared" si="19"/>
        <v>0</v>
      </c>
      <c r="I92" s="77" t="e">
        <f t="shared" si="17"/>
        <v>#DIV/0!</v>
      </c>
      <c r="K92" s="68">
        <f t="shared" si="0"/>
        <v>0</v>
      </c>
    </row>
    <row r="93" spans="1:11" x14ac:dyDescent="0.25">
      <c r="A93" s="10"/>
      <c r="B93" s="11"/>
      <c r="C93" s="11"/>
      <c r="D93" s="11"/>
      <c r="E93" s="115" t="s">
        <v>127</v>
      </c>
      <c r="F93" s="116"/>
      <c r="G93" s="116"/>
      <c r="H93" s="39">
        <f>SUM(H55:H92)</f>
        <v>0</v>
      </c>
      <c r="I93" s="78" t="e">
        <f t="shared" si="17"/>
        <v>#DIV/0!</v>
      </c>
      <c r="K93" s="68"/>
    </row>
    <row r="94" spans="1:11" ht="16.5" thickBot="1" x14ac:dyDescent="0.3">
      <c r="A94" s="33"/>
      <c r="B94" s="34"/>
      <c r="C94" s="34"/>
      <c r="D94" s="34"/>
      <c r="E94" s="35" t="s">
        <v>14</v>
      </c>
      <c r="F94" s="35"/>
      <c r="G94" s="35"/>
      <c r="H94" s="20">
        <f>H9+H36+H42+H53+H93</f>
        <v>0</v>
      </c>
      <c r="I94" s="22" t="e">
        <f t="shared" si="17"/>
        <v>#DIV/0!</v>
      </c>
    </row>
    <row r="95" spans="1:11" x14ac:dyDescent="0.25">
      <c r="A95" s="13"/>
      <c r="B95" s="14"/>
      <c r="C95" s="15"/>
      <c r="D95" s="14"/>
      <c r="E95" s="14"/>
      <c r="F95" s="16"/>
      <c r="G95" s="16"/>
      <c r="H95" s="14"/>
    </row>
    <row r="96" spans="1:11" x14ac:dyDescent="0.25">
      <c r="A96" s="13"/>
      <c r="B96" s="14"/>
      <c r="C96" s="15"/>
      <c r="D96" s="14"/>
      <c r="E96" s="14"/>
      <c r="F96" s="16"/>
      <c r="G96" s="16"/>
      <c r="H96" s="14"/>
    </row>
    <row r="97" spans="1:9" x14ac:dyDescent="0.25">
      <c r="A97" s="32"/>
      <c r="B97" s="32"/>
      <c r="C97" s="32"/>
      <c r="D97" s="32"/>
      <c r="E97" s="32"/>
      <c r="F97" s="32"/>
      <c r="G97" s="32"/>
      <c r="H97" s="32"/>
      <c r="I97" s="32"/>
    </row>
    <row r="98" spans="1:9" x14ac:dyDescent="0.25">
      <c r="A98" s="107" t="s">
        <v>37</v>
      </c>
      <c r="B98" s="107"/>
      <c r="C98" s="107"/>
      <c r="D98" s="107"/>
      <c r="E98" s="107"/>
      <c r="F98" s="107"/>
      <c r="G98" s="107"/>
      <c r="H98" s="107"/>
      <c r="I98" s="107"/>
    </row>
    <row r="99" spans="1:9" x14ac:dyDescent="0.25">
      <c r="A99" s="108" t="s">
        <v>96</v>
      </c>
      <c r="B99" s="108"/>
      <c r="C99" s="108"/>
      <c r="D99" s="108"/>
      <c r="E99" s="108"/>
      <c r="F99" s="108"/>
      <c r="G99" s="108"/>
      <c r="H99" s="108"/>
      <c r="I99" s="108"/>
    </row>
  </sheetData>
  <mergeCells count="25">
    <mergeCell ref="B54:C54"/>
    <mergeCell ref="E93:G93"/>
    <mergeCell ref="B43:C43"/>
    <mergeCell ref="E53:G53"/>
    <mergeCell ref="I3:I5"/>
    <mergeCell ref="H4:H5"/>
    <mergeCell ref="E36:G36"/>
    <mergeCell ref="B37:C37"/>
    <mergeCell ref="E42:G42"/>
    <mergeCell ref="A98:I98"/>
    <mergeCell ref="A99:I99"/>
    <mergeCell ref="A1:I1"/>
    <mergeCell ref="A2:I2"/>
    <mergeCell ref="E9:G9"/>
    <mergeCell ref="A3:G3"/>
    <mergeCell ref="A4:G4"/>
    <mergeCell ref="B10:C10"/>
    <mergeCell ref="B7:C7"/>
    <mergeCell ref="B11:C11"/>
    <mergeCell ref="B15:C15"/>
    <mergeCell ref="B20:C20"/>
    <mergeCell ref="B25:C25"/>
    <mergeCell ref="B27:C27"/>
    <mergeCell ref="B32:C32"/>
    <mergeCell ref="A5:G5"/>
  </mergeCells>
  <pageMargins left="0.62992125984251968" right="0.23622047244094491" top="0.59055118110236227" bottom="0.11811023622047245" header="0.31496062992125984" footer="0"/>
  <pageSetup paperSize="9"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GridLines="0" zoomScaleNormal="100" workbookViewId="0">
      <selection activeCell="D165" sqref="D165"/>
    </sheetView>
  </sheetViews>
  <sheetFormatPr defaultRowHeight="15" x14ac:dyDescent="0.25"/>
  <cols>
    <col min="1" max="1" width="13" style="6" customWidth="1"/>
    <col min="2" max="2" width="56.42578125" customWidth="1"/>
    <col min="3" max="3" width="4.42578125" bestFit="1" customWidth="1"/>
    <col min="4" max="4" width="11.140625" bestFit="1" customWidth="1"/>
    <col min="5" max="5" width="8" bestFit="1" customWidth="1"/>
    <col min="6" max="6" width="6.7109375" bestFit="1" customWidth="1"/>
    <col min="7" max="7" width="13.42578125" bestFit="1" customWidth="1"/>
    <col min="8" max="8" width="9.5703125" customWidth="1"/>
  </cols>
  <sheetData>
    <row r="1" spans="1:11" ht="27" customHeight="1" x14ac:dyDescent="0.25">
      <c r="A1" s="109" t="s">
        <v>4</v>
      </c>
      <c r="B1" s="110"/>
      <c r="C1" s="110"/>
      <c r="D1" s="110"/>
      <c r="E1" s="110"/>
      <c r="F1" s="110"/>
      <c r="G1" s="110"/>
      <c r="H1" s="111"/>
      <c r="I1" s="28"/>
      <c r="J1" s="28"/>
      <c r="K1" s="3"/>
    </row>
    <row r="2" spans="1:11" ht="21.75" customHeight="1" x14ac:dyDescent="0.25">
      <c r="A2" s="112" t="s">
        <v>13</v>
      </c>
      <c r="B2" s="113"/>
      <c r="C2" s="113"/>
      <c r="D2" s="113"/>
      <c r="E2" s="113"/>
      <c r="F2" s="113"/>
      <c r="G2" s="113"/>
      <c r="H2" s="114"/>
      <c r="I2" s="29"/>
      <c r="J2" s="29"/>
      <c r="K2" s="3"/>
    </row>
    <row r="3" spans="1:11" ht="15" customHeight="1" x14ac:dyDescent="0.25">
      <c r="A3" s="150" t="s">
        <v>38</v>
      </c>
      <c r="B3" s="151"/>
      <c r="C3" s="151"/>
      <c r="D3" s="151"/>
      <c r="E3" s="151"/>
      <c r="F3" s="151"/>
      <c r="G3" s="151"/>
      <c r="H3" s="152"/>
      <c r="I3" s="30"/>
      <c r="J3" s="30"/>
      <c r="K3" s="3"/>
    </row>
    <row r="4" spans="1:11" ht="16.5" customHeight="1" x14ac:dyDescent="0.25">
      <c r="A4" s="147" t="s">
        <v>39</v>
      </c>
      <c r="B4" s="148"/>
      <c r="C4" s="148"/>
      <c r="D4" s="148"/>
      <c r="E4" s="148"/>
      <c r="F4" s="148"/>
      <c r="G4" s="148"/>
      <c r="H4" s="149"/>
      <c r="I4" s="31"/>
      <c r="J4" s="31"/>
      <c r="K4" s="3"/>
    </row>
    <row r="5" spans="1:11" x14ac:dyDescent="0.25">
      <c r="A5" s="56">
        <v>1</v>
      </c>
      <c r="B5" s="47" t="s">
        <v>26</v>
      </c>
      <c r="C5" s="69"/>
      <c r="D5" s="69" t="s">
        <v>89</v>
      </c>
      <c r="E5" s="70" t="s">
        <v>90</v>
      </c>
      <c r="F5" s="24" t="s">
        <v>91</v>
      </c>
      <c r="G5" s="71" t="s">
        <v>92</v>
      </c>
      <c r="H5" s="27" t="s">
        <v>3</v>
      </c>
      <c r="I5" s="3"/>
      <c r="J5" s="3"/>
      <c r="K5" s="3"/>
    </row>
    <row r="6" spans="1:11" x14ac:dyDescent="0.25">
      <c r="A6" s="7" t="s">
        <v>7</v>
      </c>
      <c r="B6" s="36" t="s">
        <v>25</v>
      </c>
      <c r="C6" s="37" t="s">
        <v>17</v>
      </c>
      <c r="D6" s="72">
        <v>1</v>
      </c>
      <c r="E6" s="72">
        <v>4</v>
      </c>
      <c r="F6" s="72">
        <v>2</v>
      </c>
      <c r="G6" s="25"/>
      <c r="H6" s="26">
        <f>D6*E6*F6</f>
        <v>8</v>
      </c>
      <c r="I6" s="3"/>
      <c r="J6" s="3"/>
      <c r="K6" s="3"/>
    </row>
    <row r="7" spans="1:11" x14ac:dyDescent="0.25">
      <c r="A7" s="153"/>
      <c r="B7" s="154"/>
      <c r="C7" s="154"/>
      <c r="D7" s="154"/>
      <c r="E7" s="154"/>
      <c r="F7" s="154"/>
      <c r="G7" s="154"/>
      <c r="H7" s="155"/>
    </row>
    <row r="8" spans="1:11" x14ac:dyDescent="0.25">
      <c r="A8" s="56">
        <v>2</v>
      </c>
      <c r="B8" s="57" t="s">
        <v>40</v>
      </c>
      <c r="C8" s="58"/>
      <c r="D8" s="58"/>
      <c r="E8" s="58"/>
      <c r="F8" s="58"/>
      <c r="G8" s="58"/>
      <c r="H8" s="59"/>
    </row>
    <row r="9" spans="1:11" x14ac:dyDescent="0.25">
      <c r="A9" s="56" t="s">
        <v>8</v>
      </c>
      <c r="B9" s="57" t="s">
        <v>42</v>
      </c>
      <c r="C9" s="58"/>
      <c r="D9" s="70" t="s">
        <v>89</v>
      </c>
      <c r="E9" s="70" t="s">
        <v>90</v>
      </c>
      <c r="F9" s="24" t="s">
        <v>91</v>
      </c>
      <c r="G9" s="71" t="s">
        <v>92</v>
      </c>
      <c r="H9" s="59"/>
    </row>
    <row r="10" spans="1:11" x14ac:dyDescent="0.25">
      <c r="A10" s="130" t="s">
        <v>44</v>
      </c>
      <c r="B10" s="142" t="s">
        <v>43</v>
      </c>
      <c r="C10" s="136" t="s">
        <v>45</v>
      </c>
      <c r="D10" s="72">
        <v>27</v>
      </c>
      <c r="E10" s="72">
        <v>0.6</v>
      </c>
      <c r="F10" s="72">
        <v>0.6</v>
      </c>
      <c r="G10" s="60">
        <v>1</v>
      </c>
      <c r="H10" s="26">
        <f>G10*F10*E10*D10</f>
        <v>9.7199999999999989</v>
      </c>
    </row>
    <row r="11" spans="1:11" x14ac:dyDescent="0.25">
      <c r="A11" s="131"/>
      <c r="B11" s="143"/>
      <c r="C11" s="137"/>
      <c r="D11" s="72">
        <f>19.99+20.41+23.6</f>
        <v>64</v>
      </c>
      <c r="E11" s="72">
        <v>0.4</v>
      </c>
      <c r="F11" s="72">
        <v>0.2</v>
      </c>
      <c r="G11" s="60"/>
      <c r="H11" s="26">
        <f>D11*E11*F11</f>
        <v>5.120000000000001</v>
      </c>
    </row>
    <row r="12" spans="1:11" x14ac:dyDescent="0.25">
      <c r="A12" s="132"/>
      <c r="B12" s="144"/>
      <c r="C12" s="138"/>
      <c r="D12" s="139" t="s">
        <v>3</v>
      </c>
      <c r="E12" s="140"/>
      <c r="F12" s="140"/>
      <c r="G12" s="141"/>
      <c r="H12" s="26">
        <f>SUM(H10:H11)</f>
        <v>14.84</v>
      </c>
    </row>
    <row r="13" spans="1:11" x14ac:dyDescent="0.25">
      <c r="A13" s="130" t="s">
        <v>49</v>
      </c>
      <c r="B13" s="142" t="s">
        <v>47</v>
      </c>
      <c r="C13" s="136" t="s">
        <v>46</v>
      </c>
      <c r="D13" s="75">
        <v>27</v>
      </c>
      <c r="E13" s="75">
        <v>0.6</v>
      </c>
      <c r="F13" s="75">
        <v>0.6</v>
      </c>
      <c r="G13" s="75"/>
      <c r="H13" s="26">
        <f>D13*E13*F13</f>
        <v>9.7199999999999989</v>
      </c>
    </row>
    <row r="14" spans="1:11" x14ac:dyDescent="0.25">
      <c r="A14" s="131"/>
      <c r="B14" s="143"/>
      <c r="C14" s="137"/>
      <c r="D14" s="75">
        <v>64</v>
      </c>
      <c r="E14" s="75">
        <v>0.4</v>
      </c>
      <c r="F14" s="75"/>
      <c r="G14" s="75"/>
      <c r="H14" s="26">
        <f>D14*E14</f>
        <v>25.6</v>
      </c>
    </row>
    <row r="15" spans="1:11" x14ac:dyDescent="0.25">
      <c r="A15" s="132"/>
      <c r="B15" s="144"/>
      <c r="C15" s="138"/>
      <c r="D15" s="139" t="s">
        <v>3</v>
      </c>
      <c r="E15" s="140"/>
      <c r="F15" s="140"/>
      <c r="G15" s="141"/>
      <c r="H15" s="26">
        <f>SUM(H13:H14)</f>
        <v>35.32</v>
      </c>
    </row>
    <row r="16" spans="1:11" x14ac:dyDescent="0.25">
      <c r="A16" s="83" t="s">
        <v>50</v>
      </c>
      <c r="B16" s="73" t="s">
        <v>48</v>
      </c>
      <c r="C16" s="82"/>
      <c r="D16" s="75"/>
      <c r="E16" s="75"/>
      <c r="F16" s="75"/>
      <c r="G16" s="75"/>
      <c r="H16" s="26">
        <f>H12-H30</f>
        <v>9.1327999999999996</v>
      </c>
    </row>
    <row r="17" spans="1:8" x14ac:dyDescent="0.25">
      <c r="A17" s="56" t="s">
        <v>9</v>
      </c>
      <c r="B17" s="57" t="s">
        <v>51</v>
      </c>
      <c r="C17" s="58"/>
      <c r="D17" s="70" t="s">
        <v>89</v>
      </c>
      <c r="E17" s="70" t="s">
        <v>90</v>
      </c>
      <c r="F17" s="24" t="s">
        <v>91</v>
      </c>
      <c r="G17" s="71" t="s">
        <v>92</v>
      </c>
      <c r="H17" s="59"/>
    </row>
    <row r="18" spans="1:8" x14ac:dyDescent="0.25">
      <c r="A18" s="130" t="s">
        <v>54</v>
      </c>
      <c r="B18" s="142" t="s">
        <v>53</v>
      </c>
      <c r="C18" s="136" t="s">
        <v>93</v>
      </c>
      <c r="D18" s="72">
        <v>27</v>
      </c>
      <c r="E18" s="72">
        <v>0.14000000000000001</v>
      </c>
      <c r="F18" s="72">
        <v>0.3</v>
      </c>
      <c r="G18" s="72">
        <v>0.8</v>
      </c>
      <c r="H18" s="26">
        <f>G18*(F18+F18+E18+E18)*D18</f>
        <v>19.008000000000003</v>
      </c>
    </row>
    <row r="19" spans="1:8" x14ac:dyDescent="0.25">
      <c r="A19" s="131"/>
      <c r="B19" s="143"/>
      <c r="C19" s="137"/>
      <c r="D19" s="72">
        <v>1</v>
      </c>
      <c r="E19" s="72">
        <v>0.14000000000000001</v>
      </c>
      <c r="F19" s="72">
        <v>0.3</v>
      </c>
      <c r="G19" s="72">
        <v>23.6</v>
      </c>
      <c r="H19" s="26">
        <f>G19*F19*D19</f>
        <v>7.08</v>
      </c>
    </row>
    <row r="20" spans="1:8" x14ac:dyDescent="0.25">
      <c r="A20" s="131"/>
      <c r="B20" s="143"/>
      <c r="C20" s="137"/>
      <c r="D20" s="72">
        <v>1</v>
      </c>
      <c r="E20" s="72">
        <v>0.14000000000000001</v>
      </c>
      <c r="F20" s="72">
        <v>0.3</v>
      </c>
      <c r="G20" s="72">
        <v>20.41</v>
      </c>
      <c r="H20" s="26">
        <f>G20*F20*D20</f>
        <v>6.1230000000000002</v>
      </c>
    </row>
    <row r="21" spans="1:8" x14ac:dyDescent="0.25">
      <c r="A21" s="131"/>
      <c r="B21" s="143"/>
      <c r="C21" s="137"/>
      <c r="D21" s="72">
        <v>1</v>
      </c>
      <c r="E21" s="72">
        <v>0.14000000000000001</v>
      </c>
      <c r="F21" s="72">
        <v>0.3</v>
      </c>
      <c r="G21" s="72">
        <v>19.989999999999998</v>
      </c>
      <c r="H21" s="26">
        <f>G21*F21*D21</f>
        <v>5.996999999999999</v>
      </c>
    </row>
    <row r="22" spans="1:8" x14ac:dyDescent="0.25">
      <c r="A22" s="131"/>
      <c r="B22" s="143"/>
      <c r="C22" s="137"/>
      <c r="D22" s="72">
        <v>1</v>
      </c>
      <c r="E22" s="72">
        <v>0.14000000000000001</v>
      </c>
      <c r="F22" s="72">
        <v>0.3</v>
      </c>
      <c r="G22" s="72">
        <v>4</v>
      </c>
      <c r="H22" s="26">
        <f>G22*F22*D22</f>
        <v>1.2</v>
      </c>
    </row>
    <row r="23" spans="1:8" x14ac:dyDescent="0.25">
      <c r="A23" s="132"/>
      <c r="B23" s="144"/>
      <c r="C23" s="138"/>
      <c r="D23" s="139" t="s">
        <v>3</v>
      </c>
      <c r="E23" s="140"/>
      <c r="F23" s="140"/>
      <c r="G23" s="141"/>
      <c r="H23" s="26">
        <f>SUM(H18:H22)</f>
        <v>39.408000000000001</v>
      </c>
    </row>
    <row r="24" spans="1:8" x14ac:dyDescent="0.25">
      <c r="A24" s="130" t="s">
        <v>55</v>
      </c>
      <c r="B24" s="142" t="s">
        <v>58</v>
      </c>
      <c r="C24" s="136" t="s">
        <v>45</v>
      </c>
      <c r="D24" s="72">
        <v>27</v>
      </c>
      <c r="E24" s="72">
        <v>0.6</v>
      </c>
      <c r="F24" s="72">
        <v>0.6</v>
      </c>
      <c r="G24" s="72">
        <v>0.2</v>
      </c>
      <c r="H24" s="26">
        <f>G24*F24*E24*D24</f>
        <v>1.944</v>
      </c>
    </row>
    <row r="25" spans="1:8" x14ac:dyDescent="0.25">
      <c r="A25" s="131"/>
      <c r="B25" s="143"/>
      <c r="C25" s="137"/>
      <c r="D25" s="72">
        <v>27</v>
      </c>
      <c r="E25" s="72">
        <v>0.14000000000000001</v>
      </c>
      <c r="F25" s="72">
        <v>0.3</v>
      </c>
      <c r="G25" s="72">
        <v>0.8</v>
      </c>
      <c r="H25" s="26">
        <f t="shared" ref="H25:H28" si="0">G25*F25*E25*D25</f>
        <v>0.90720000000000012</v>
      </c>
    </row>
    <row r="26" spans="1:8" x14ac:dyDescent="0.25">
      <c r="A26" s="131"/>
      <c r="B26" s="143"/>
      <c r="C26" s="137"/>
      <c r="D26" s="72">
        <v>1</v>
      </c>
      <c r="E26" s="72">
        <v>0.14000000000000001</v>
      </c>
      <c r="F26" s="72">
        <v>0.3</v>
      </c>
      <c r="G26" s="72">
        <v>23.6</v>
      </c>
      <c r="H26" s="26">
        <f t="shared" si="0"/>
        <v>0.99120000000000008</v>
      </c>
    </row>
    <row r="27" spans="1:8" x14ac:dyDescent="0.25">
      <c r="A27" s="131"/>
      <c r="B27" s="143"/>
      <c r="C27" s="137"/>
      <c r="D27" s="72">
        <v>1</v>
      </c>
      <c r="E27" s="72">
        <v>0.14000000000000001</v>
      </c>
      <c r="F27" s="72">
        <v>0.3</v>
      </c>
      <c r="G27" s="72">
        <v>20.41</v>
      </c>
      <c r="H27" s="26">
        <f t="shared" si="0"/>
        <v>0.85722000000000009</v>
      </c>
    </row>
    <row r="28" spans="1:8" x14ac:dyDescent="0.25">
      <c r="A28" s="131"/>
      <c r="B28" s="143"/>
      <c r="C28" s="137"/>
      <c r="D28" s="72">
        <v>1</v>
      </c>
      <c r="E28" s="72">
        <v>0.14000000000000001</v>
      </c>
      <c r="F28" s="72">
        <v>0.3</v>
      </c>
      <c r="G28" s="72">
        <v>19.989999999999998</v>
      </c>
      <c r="H28" s="26">
        <f t="shared" si="0"/>
        <v>0.83957999999999999</v>
      </c>
    </row>
    <row r="29" spans="1:8" x14ac:dyDescent="0.25">
      <c r="A29" s="131"/>
      <c r="B29" s="143"/>
      <c r="C29" s="137"/>
      <c r="D29" s="72">
        <v>1</v>
      </c>
      <c r="E29" s="72">
        <v>0.14000000000000001</v>
      </c>
      <c r="F29" s="72">
        <v>0.3</v>
      </c>
      <c r="G29" s="72">
        <v>4</v>
      </c>
      <c r="H29" s="26">
        <f t="shared" ref="H29" si="1">G29*F29*E29*D29</f>
        <v>0.16800000000000001</v>
      </c>
    </row>
    <row r="30" spans="1:8" x14ac:dyDescent="0.25">
      <c r="A30" s="132"/>
      <c r="B30" s="144"/>
      <c r="C30" s="138"/>
      <c r="D30" s="139" t="s">
        <v>3</v>
      </c>
      <c r="E30" s="140"/>
      <c r="F30" s="140"/>
      <c r="G30" s="141"/>
      <c r="H30" s="26">
        <f>SUM(H24:H29)</f>
        <v>5.7072000000000003</v>
      </c>
    </row>
    <row r="31" spans="1:8" x14ac:dyDescent="0.25">
      <c r="A31" s="130" t="s">
        <v>56</v>
      </c>
      <c r="B31" s="142" t="s">
        <v>59</v>
      </c>
      <c r="C31" s="136" t="s">
        <v>60</v>
      </c>
      <c r="D31" s="72">
        <v>27</v>
      </c>
      <c r="E31" s="72">
        <v>4</v>
      </c>
      <c r="F31" s="72">
        <v>0.69</v>
      </c>
      <c r="G31" s="72">
        <f>D31*E31*F31</f>
        <v>74.52</v>
      </c>
      <c r="H31" s="26">
        <f>G31*0.154</f>
        <v>11.47608</v>
      </c>
    </row>
    <row r="32" spans="1:8" x14ac:dyDescent="0.25">
      <c r="A32" s="131"/>
      <c r="B32" s="143"/>
      <c r="C32" s="137"/>
      <c r="D32" s="72">
        <v>1</v>
      </c>
      <c r="E32" s="72">
        <v>136</v>
      </c>
      <c r="F32" s="72">
        <v>0.69</v>
      </c>
      <c r="G32" s="72">
        <f>D32*E32*F32</f>
        <v>93.839999999999989</v>
      </c>
      <c r="H32" s="26">
        <f>G32*0.154</f>
        <v>14.451359999999998</v>
      </c>
    </row>
    <row r="33" spans="1:8" x14ac:dyDescent="0.25">
      <c r="A33" s="131"/>
      <c r="B33" s="143"/>
      <c r="C33" s="137"/>
      <c r="D33" s="72">
        <v>1</v>
      </c>
      <c r="E33" s="72">
        <v>157</v>
      </c>
      <c r="F33" s="72">
        <v>0.69</v>
      </c>
      <c r="G33" s="72">
        <f>D33*E33*F33</f>
        <v>108.33</v>
      </c>
      <c r="H33" s="26">
        <f>G33*0.154</f>
        <v>16.68282</v>
      </c>
    </row>
    <row r="34" spans="1:8" x14ac:dyDescent="0.25">
      <c r="A34" s="131"/>
      <c r="B34" s="143"/>
      <c r="C34" s="137"/>
      <c r="D34" s="74">
        <v>1</v>
      </c>
      <c r="E34" s="75">
        <v>133</v>
      </c>
      <c r="F34" s="72">
        <v>0.69</v>
      </c>
      <c r="G34" s="72">
        <f>D34*E34*F34</f>
        <v>91.77</v>
      </c>
      <c r="H34" s="26">
        <f>G34*0.154</f>
        <v>14.132579999999999</v>
      </c>
    </row>
    <row r="35" spans="1:8" x14ac:dyDescent="0.25">
      <c r="A35" s="131"/>
      <c r="B35" s="143"/>
      <c r="C35" s="137"/>
      <c r="D35" s="74">
        <v>1</v>
      </c>
      <c r="E35" s="75">
        <v>27</v>
      </c>
      <c r="F35" s="72">
        <v>0.69</v>
      </c>
      <c r="G35" s="72">
        <f>D35*E35*F35</f>
        <v>18.63</v>
      </c>
      <c r="H35" s="26">
        <f>G35*0.154</f>
        <v>2.8690199999999999</v>
      </c>
    </row>
    <row r="36" spans="1:8" x14ac:dyDescent="0.25">
      <c r="A36" s="132"/>
      <c r="B36" s="144"/>
      <c r="C36" s="138"/>
      <c r="D36" s="139" t="s">
        <v>3</v>
      </c>
      <c r="E36" s="140"/>
      <c r="F36" s="140"/>
      <c r="G36" s="141"/>
      <c r="H36" s="26">
        <f>SUM(H31:H35)</f>
        <v>59.611859999999993</v>
      </c>
    </row>
    <row r="37" spans="1:8" x14ac:dyDescent="0.25">
      <c r="A37" s="130" t="s">
        <v>57</v>
      </c>
      <c r="B37" s="142" t="s">
        <v>61</v>
      </c>
      <c r="C37" s="136" t="s">
        <v>60</v>
      </c>
      <c r="D37" s="72">
        <v>27</v>
      </c>
      <c r="E37" s="72">
        <v>4</v>
      </c>
      <c r="F37" s="72">
        <v>1.3</v>
      </c>
      <c r="G37" s="72">
        <f>F37*E37*D37</f>
        <v>140.4</v>
      </c>
      <c r="H37" s="26">
        <f>G37*0.617</f>
        <v>86.626800000000003</v>
      </c>
    </row>
    <row r="38" spans="1:8" x14ac:dyDescent="0.25">
      <c r="A38" s="131"/>
      <c r="B38" s="143"/>
      <c r="C38" s="137"/>
      <c r="D38" s="72">
        <v>1</v>
      </c>
      <c r="E38" s="72">
        <v>4</v>
      </c>
      <c r="F38" s="72">
        <f>23.6+19.99</f>
        <v>43.59</v>
      </c>
      <c r="G38" s="72">
        <f>F38*E38*D38</f>
        <v>174.36</v>
      </c>
      <c r="H38" s="26">
        <f>G38*0.395</f>
        <v>68.872200000000007</v>
      </c>
    </row>
    <row r="39" spans="1:8" x14ac:dyDescent="0.25">
      <c r="A39" s="131"/>
      <c r="B39" s="143"/>
      <c r="C39" s="137"/>
      <c r="D39" s="72">
        <v>1</v>
      </c>
      <c r="E39" s="72">
        <v>4</v>
      </c>
      <c r="F39" s="72">
        <v>20.41</v>
      </c>
      <c r="G39" s="72">
        <f>F39*E39*D39</f>
        <v>81.64</v>
      </c>
      <c r="H39" s="26">
        <f>G39*0.395</f>
        <v>32.247800000000005</v>
      </c>
    </row>
    <row r="40" spans="1:8" x14ac:dyDescent="0.25">
      <c r="A40" s="131"/>
      <c r="B40" s="143"/>
      <c r="C40" s="137"/>
      <c r="D40" s="72">
        <v>1</v>
      </c>
      <c r="E40" s="72">
        <v>4</v>
      </c>
      <c r="F40" s="72">
        <v>4</v>
      </c>
      <c r="G40" s="72">
        <f>F40*E40*D40</f>
        <v>16</v>
      </c>
      <c r="H40" s="26">
        <f>G40*0.395</f>
        <v>6.32</v>
      </c>
    </row>
    <row r="41" spans="1:8" x14ac:dyDescent="0.25">
      <c r="A41" s="132"/>
      <c r="B41" s="144"/>
      <c r="C41" s="138"/>
      <c r="D41" s="139" t="s">
        <v>3</v>
      </c>
      <c r="E41" s="140"/>
      <c r="F41" s="140"/>
      <c r="G41" s="141"/>
      <c r="H41" s="26">
        <f>SUM(H37:H40)</f>
        <v>194.06680000000003</v>
      </c>
    </row>
    <row r="42" spans="1:8" x14ac:dyDescent="0.25">
      <c r="A42" s="56" t="s">
        <v>11</v>
      </c>
      <c r="B42" s="57" t="s">
        <v>62</v>
      </c>
      <c r="C42" s="58"/>
      <c r="D42" s="70" t="s">
        <v>89</v>
      </c>
      <c r="E42" s="70" t="s">
        <v>90</v>
      </c>
      <c r="F42" s="24" t="s">
        <v>91</v>
      </c>
      <c r="G42" s="71" t="s">
        <v>92</v>
      </c>
      <c r="H42" s="59"/>
    </row>
    <row r="43" spans="1:8" x14ac:dyDescent="0.25">
      <c r="A43" s="130" t="s">
        <v>63</v>
      </c>
      <c r="B43" s="142" t="s">
        <v>67</v>
      </c>
      <c r="C43" s="136" t="s">
        <v>46</v>
      </c>
      <c r="D43" s="72">
        <v>27</v>
      </c>
      <c r="E43" s="72">
        <v>0.14000000000000001</v>
      </c>
      <c r="F43" s="72">
        <f>4-0.3</f>
        <v>3.7</v>
      </c>
      <c r="G43" s="72">
        <v>0.3</v>
      </c>
      <c r="H43" s="26">
        <f>G43*2*F43*D43</f>
        <v>59.940000000000005</v>
      </c>
    </row>
    <row r="44" spans="1:8" x14ac:dyDescent="0.25">
      <c r="A44" s="131"/>
      <c r="B44" s="143"/>
      <c r="C44" s="137"/>
      <c r="D44" s="72">
        <v>10</v>
      </c>
      <c r="E44" s="72">
        <v>0.14000000000000001</v>
      </c>
      <c r="F44" s="72">
        <v>1</v>
      </c>
      <c r="G44" s="72">
        <v>0.3</v>
      </c>
      <c r="H44" s="26">
        <f>G44*2*F44*D44</f>
        <v>6</v>
      </c>
    </row>
    <row r="45" spans="1:8" x14ac:dyDescent="0.25">
      <c r="A45" s="131"/>
      <c r="B45" s="143"/>
      <c r="C45" s="137"/>
      <c r="D45" s="72">
        <v>1</v>
      </c>
      <c r="E45" s="72">
        <v>0.14000000000000001</v>
      </c>
      <c r="F45" s="72">
        <v>0.3</v>
      </c>
      <c r="G45" s="72">
        <f>23.6+19.99</f>
        <v>43.59</v>
      </c>
      <c r="H45" s="26">
        <f>G45*F45*2*D45</f>
        <v>26.154</v>
      </c>
    </row>
    <row r="46" spans="1:8" x14ac:dyDescent="0.25">
      <c r="A46" s="131"/>
      <c r="B46" s="143"/>
      <c r="C46" s="137"/>
      <c r="D46" s="72">
        <v>1</v>
      </c>
      <c r="E46" s="72">
        <v>0.14000000000000001</v>
      </c>
      <c r="F46" s="72">
        <v>0.3</v>
      </c>
      <c r="G46" s="72">
        <v>20.41</v>
      </c>
      <c r="H46" s="26">
        <f>G46*F46*2*D46</f>
        <v>12.246</v>
      </c>
    </row>
    <row r="47" spans="1:8" x14ac:dyDescent="0.25">
      <c r="A47" s="131"/>
      <c r="B47" s="143"/>
      <c r="C47" s="137"/>
      <c r="D47" s="72">
        <v>1</v>
      </c>
      <c r="E47" s="72">
        <v>0.14000000000000001</v>
      </c>
      <c r="F47" s="72">
        <v>0.3</v>
      </c>
      <c r="G47" s="72">
        <v>4</v>
      </c>
      <c r="H47" s="26">
        <f>G47*F47*2*D47</f>
        <v>2.4</v>
      </c>
    </row>
    <row r="48" spans="1:8" x14ac:dyDescent="0.25">
      <c r="A48" s="132"/>
      <c r="B48" s="144"/>
      <c r="C48" s="138"/>
      <c r="D48" s="139" t="s">
        <v>3</v>
      </c>
      <c r="E48" s="140"/>
      <c r="F48" s="140"/>
      <c r="G48" s="141"/>
      <c r="H48" s="26">
        <f>SUM(H43:H47)</f>
        <v>106.74</v>
      </c>
    </row>
    <row r="49" spans="1:8" x14ac:dyDescent="0.25">
      <c r="A49" s="130" t="s">
        <v>64</v>
      </c>
      <c r="B49" s="142" t="s">
        <v>58</v>
      </c>
      <c r="C49" s="136" t="s">
        <v>45</v>
      </c>
      <c r="D49" s="72">
        <v>27</v>
      </c>
      <c r="E49" s="72">
        <v>0.14000000000000001</v>
      </c>
      <c r="F49" s="72">
        <v>0.3</v>
      </c>
      <c r="G49" s="72">
        <v>3.7</v>
      </c>
      <c r="H49" s="26">
        <f>G49*F49*E49*D49</f>
        <v>4.1958000000000011</v>
      </c>
    </row>
    <row r="50" spans="1:8" x14ac:dyDescent="0.25">
      <c r="A50" s="131"/>
      <c r="B50" s="143"/>
      <c r="C50" s="137"/>
      <c r="D50" s="72">
        <v>10</v>
      </c>
      <c r="E50" s="72">
        <v>0.14000000000000001</v>
      </c>
      <c r="F50" s="72">
        <v>1</v>
      </c>
      <c r="G50" s="72">
        <v>0.3</v>
      </c>
      <c r="H50" s="26">
        <f>G50*F50*E50*D50</f>
        <v>0.42000000000000004</v>
      </c>
    </row>
    <row r="51" spans="1:8" x14ac:dyDescent="0.25">
      <c r="A51" s="131"/>
      <c r="B51" s="143"/>
      <c r="C51" s="137"/>
      <c r="D51" s="72">
        <v>1</v>
      </c>
      <c r="E51" s="72">
        <v>0.14000000000000001</v>
      </c>
      <c r="F51" s="72">
        <v>0.3</v>
      </c>
      <c r="G51" s="72">
        <f>23.6+19.99</f>
        <v>43.59</v>
      </c>
      <c r="H51" s="26">
        <f t="shared" ref="H51:H52" si="2">G51*F51*E51*D51</f>
        <v>1.8307800000000001</v>
      </c>
    </row>
    <row r="52" spans="1:8" x14ac:dyDescent="0.25">
      <c r="A52" s="131"/>
      <c r="B52" s="143"/>
      <c r="C52" s="137"/>
      <c r="D52" s="72">
        <v>1</v>
      </c>
      <c r="E52" s="72">
        <v>0.14000000000000001</v>
      </c>
      <c r="F52" s="72">
        <v>0.3</v>
      </c>
      <c r="G52" s="72">
        <v>20.41</v>
      </c>
      <c r="H52" s="26">
        <f t="shared" si="2"/>
        <v>0.85722000000000009</v>
      </c>
    </row>
    <row r="53" spans="1:8" x14ac:dyDescent="0.25">
      <c r="A53" s="131"/>
      <c r="B53" s="143"/>
      <c r="C53" s="137"/>
      <c r="D53" s="72">
        <v>1</v>
      </c>
      <c r="E53" s="72">
        <v>0.14000000000000001</v>
      </c>
      <c r="F53" s="72">
        <v>0.3</v>
      </c>
      <c r="G53" s="72">
        <v>4</v>
      </c>
      <c r="H53" s="26">
        <f t="shared" ref="H53" si="3">G53*F53*E53*D53</f>
        <v>0.16800000000000001</v>
      </c>
    </row>
    <row r="54" spans="1:8" x14ac:dyDescent="0.25">
      <c r="A54" s="132"/>
      <c r="B54" s="144"/>
      <c r="C54" s="138"/>
      <c r="D54" s="139" t="s">
        <v>3</v>
      </c>
      <c r="E54" s="140"/>
      <c r="F54" s="140"/>
      <c r="G54" s="141"/>
      <c r="H54" s="26">
        <f>SUM(H49:H53)</f>
        <v>7.4718000000000009</v>
      </c>
    </row>
    <row r="55" spans="1:8" x14ac:dyDescent="0.25">
      <c r="A55" s="130" t="s">
        <v>65</v>
      </c>
      <c r="B55" s="142" t="s">
        <v>59</v>
      </c>
      <c r="C55" s="136" t="s">
        <v>60</v>
      </c>
      <c r="D55" s="72">
        <v>27</v>
      </c>
      <c r="E55" s="72">
        <v>25</v>
      </c>
      <c r="F55" s="72">
        <v>0.69</v>
      </c>
      <c r="G55" s="72">
        <f>D55*E55*F55</f>
        <v>465.74999999999994</v>
      </c>
      <c r="H55" s="26">
        <f>G55*0.154</f>
        <v>71.725499999999997</v>
      </c>
    </row>
    <row r="56" spans="1:8" x14ac:dyDescent="0.25">
      <c r="A56" s="131"/>
      <c r="B56" s="143"/>
      <c r="C56" s="137"/>
      <c r="D56" s="72">
        <v>10</v>
      </c>
      <c r="E56" s="72">
        <v>7</v>
      </c>
      <c r="F56" s="72">
        <v>0.69</v>
      </c>
      <c r="G56" s="72">
        <f>D56*E56*F56</f>
        <v>48.3</v>
      </c>
      <c r="H56" s="26">
        <f>G56*0.154</f>
        <v>7.4381999999999993</v>
      </c>
    </row>
    <row r="57" spans="1:8" x14ac:dyDescent="0.25">
      <c r="A57" s="131"/>
      <c r="B57" s="143"/>
      <c r="C57" s="137"/>
      <c r="D57" s="72">
        <v>1</v>
      </c>
      <c r="E57" s="72">
        <v>158</v>
      </c>
      <c r="F57" s="72">
        <v>0.69</v>
      </c>
      <c r="G57" s="72">
        <f>D57*E57*F57</f>
        <v>109.02</v>
      </c>
      <c r="H57" s="26">
        <f t="shared" ref="H57" si="4">G57*0.154</f>
        <v>16.789079999999998</v>
      </c>
    </row>
    <row r="58" spans="1:8" x14ac:dyDescent="0.25">
      <c r="A58" s="131"/>
      <c r="B58" s="143"/>
      <c r="C58" s="137"/>
      <c r="D58" s="72">
        <v>1</v>
      </c>
      <c r="E58" s="72">
        <v>136</v>
      </c>
      <c r="F58" s="72">
        <v>0.69</v>
      </c>
      <c r="G58" s="72">
        <f>D58*E58*F58</f>
        <v>93.839999999999989</v>
      </c>
      <c r="H58" s="26">
        <f>G58*0.154</f>
        <v>14.451359999999998</v>
      </c>
    </row>
    <row r="59" spans="1:8" x14ac:dyDescent="0.25">
      <c r="A59" s="131"/>
      <c r="B59" s="143"/>
      <c r="C59" s="137"/>
      <c r="D59" s="72">
        <v>1</v>
      </c>
      <c r="E59" s="72">
        <v>133</v>
      </c>
      <c r="F59" s="72">
        <v>0.69</v>
      </c>
      <c r="G59" s="72">
        <f>D59*E59*F59</f>
        <v>91.77</v>
      </c>
      <c r="H59" s="26">
        <f>G59*0.154</f>
        <v>14.132579999999999</v>
      </c>
    </row>
    <row r="60" spans="1:8" x14ac:dyDescent="0.25">
      <c r="A60" s="132"/>
      <c r="B60" s="144"/>
      <c r="C60" s="138"/>
      <c r="D60" s="139" t="s">
        <v>3</v>
      </c>
      <c r="E60" s="140"/>
      <c r="F60" s="140"/>
      <c r="G60" s="141"/>
      <c r="H60" s="26">
        <f>SUM(H55:H59)</f>
        <v>124.53671999999999</v>
      </c>
    </row>
    <row r="61" spans="1:8" x14ac:dyDescent="0.25">
      <c r="A61" s="130" t="s">
        <v>66</v>
      </c>
      <c r="B61" s="142" t="s">
        <v>61</v>
      </c>
      <c r="C61" s="136" t="s">
        <v>60</v>
      </c>
      <c r="D61" s="72">
        <v>27</v>
      </c>
      <c r="E61" s="72">
        <v>4</v>
      </c>
      <c r="F61" s="72">
        <v>2.5</v>
      </c>
      <c r="G61" s="72">
        <f>F61*E61*D61</f>
        <v>270</v>
      </c>
      <c r="H61" s="26">
        <f>G61*0.617</f>
        <v>166.59</v>
      </c>
    </row>
    <row r="62" spans="1:8" x14ac:dyDescent="0.25">
      <c r="A62" s="131"/>
      <c r="B62" s="143"/>
      <c r="C62" s="137"/>
      <c r="D62" s="72">
        <v>10</v>
      </c>
      <c r="E62" s="72">
        <v>4</v>
      </c>
      <c r="F62" s="72">
        <v>1</v>
      </c>
      <c r="G62" s="72">
        <f>F62*E62*D62</f>
        <v>40</v>
      </c>
      <c r="H62" s="26">
        <f>G62*0.617</f>
        <v>24.68</v>
      </c>
    </row>
    <row r="63" spans="1:8" x14ac:dyDescent="0.25">
      <c r="A63" s="131"/>
      <c r="B63" s="143"/>
      <c r="C63" s="137"/>
      <c r="D63" s="72">
        <v>1</v>
      </c>
      <c r="E63" s="72">
        <v>4</v>
      </c>
      <c r="F63" s="72">
        <f>23.6</f>
        <v>23.6</v>
      </c>
      <c r="G63" s="72">
        <f>F63*E63*D63</f>
        <v>94.4</v>
      </c>
      <c r="H63" s="26">
        <f>G63*0.395</f>
        <v>37.288000000000004</v>
      </c>
    </row>
    <row r="64" spans="1:8" x14ac:dyDescent="0.25">
      <c r="A64" s="131"/>
      <c r="B64" s="143"/>
      <c r="C64" s="137"/>
      <c r="D64" s="72">
        <v>1</v>
      </c>
      <c r="E64" s="72">
        <v>4</v>
      </c>
      <c r="F64" s="72">
        <f>19.99+20.41</f>
        <v>40.4</v>
      </c>
      <c r="G64" s="72">
        <f>F64*E64*D64</f>
        <v>161.6</v>
      </c>
      <c r="H64" s="26">
        <f>G64*0.395</f>
        <v>63.832000000000001</v>
      </c>
    </row>
    <row r="65" spans="1:8" x14ac:dyDescent="0.25">
      <c r="A65" s="131"/>
      <c r="B65" s="143"/>
      <c r="C65" s="137"/>
      <c r="D65" s="72">
        <v>1</v>
      </c>
      <c r="E65" s="72">
        <v>4</v>
      </c>
      <c r="F65" s="72">
        <v>3</v>
      </c>
      <c r="G65" s="72">
        <f>F65*E65*D65</f>
        <v>12</v>
      </c>
      <c r="H65" s="26">
        <f>G65*0.395</f>
        <v>4.74</v>
      </c>
    </row>
    <row r="66" spans="1:8" x14ac:dyDescent="0.25">
      <c r="A66" s="132"/>
      <c r="B66" s="144"/>
      <c r="C66" s="138"/>
      <c r="D66" s="139" t="s">
        <v>3</v>
      </c>
      <c r="E66" s="140"/>
      <c r="F66" s="140"/>
      <c r="G66" s="141"/>
      <c r="H66" s="26">
        <f>SUM(H61:H65)</f>
        <v>297.13000000000005</v>
      </c>
    </row>
    <row r="67" spans="1:8" x14ac:dyDescent="0.25">
      <c r="A67" s="56" t="s">
        <v>34</v>
      </c>
      <c r="B67" s="57" t="s">
        <v>68</v>
      </c>
      <c r="C67" s="58"/>
      <c r="D67" s="70" t="s">
        <v>89</v>
      </c>
      <c r="E67" s="70" t="s">
        <v>90</v>
      </c>
      <c r="F67" s="24" t="s">
        <v>91</v>
      </c>
      <c r="G67" s="71" t="s">
        <v>92</v>
      </c>
      <c r="H67" s="59"/>
    </row>
    <row r="68" spans="1:8" x14ac:dyDescent="0.25">
      <c r="A68" s="130" t="s">
        <v>70</v>
      </c>
      <c r="B68" s="142" t="s">
        <v>69</v>
      </c>
      <c r="C68" s="136" t="s">
        <v>46</v>
      </c>
      <c r="D68" s="72">
        <v>1</v>
      </c>
      <c r="E68" s="72">
        <v>20.41</v>
      </c>
      <c r="F68" s="72">
        <v>3.7</v>
      </c>
      <c r="G68" s="72"/>
      <c r="H68" s="26">
        <f>D68*E68*F68</f>
        <v>75.51700000000001</v>
      </c>
    </row>
    <row r="69" spans="1:8" x14ac:dyDescent="0.25">
      <c r="A69" s="131"/>
      <c r="B69" s="143"/>
      <c r="C69" s="137"/>
      <c r="D69" s="72">
        <v>1</v>
      </c>
      <c r="E69" s="72">
        <v>23.6</v>
      </c>
      <c r="F69" s="72">
        <v>3.7</v>
      </c>
      <c r="G69" s="72"/>
      <c r="H69" s="26">
        <f>D69*E69*F69</f>
        <v>87.320000000000007</v>
      </c>
    </row>
    <row r="70" spans="1:8" x14ac:dyDescent="0.25">
      <c r="A70" s="131"/>
      <c r="B70" s="143"/>
      <c r="C70" s="137"/>
      <c r="D70" s="75">
        <v>1</v>
      </c>
      <c r="E70" s="75">
        <v>12</v>
      </c>
      <c r="F70" s="75">
        <v>1</v>
      </c>
      <c r="G70" s="75"/>
      <c r="H70" s="26">
        <f>D70*E70*F70</f>
        <v>12</v>
      </c>
    </row>
    <row r="71" spans="1:8" x14ac:dyDescent="0.25">
      <c r="A71" s="131"/>
      <c r="B71" s="143"/>
      <c r="C71" s="137"/>
      <c r="D71" s="75">
        <v>1</v>
      </c>
      <c r="E71" s="75">
        <v>3</v>
      </c>
      <c r="F71" s="75">
        <v>2.5</v>
      </c>
      <c r="G71" s="75"/>
      <c r="H71" s="26">
        <f>D71*E71*F71</f>
        <v>7.5</v>
      </c>
    </row>
    <row r="72" spans="1:8" ht="22.5" customHeight="1" x14ac:dyDescent="0.25">
      <c r="A72" s="132"/>
      <c r="B72" s="144"/>
      <c r="C72" s="138"/>
      <c r="D72" s="139" t="s">
        <v>3</v>
      </c>
      <c r="E72" s="140"/>
      <c r="F72" s="140"/>
      <c r="G72" s="141"/>
      <c r="H72" s="26">
        <f>SUM(H68:H71)</f>
        <v>182.33700000000002</v>
      </c>
    </row>
    <row r="73" spans="1:8" x14ac:dyDescent="0.25">
      <c r="A73" s="56" t="s">
        <v>35</v>
      </c>
      <c r="B73" s="57" t="s">
        <v>71</v>
      </c>
      <c r="C73" s="58"/>
      <c r="D73" s="70" t="s">
        <v>89</v>
      </c>
      <c r="E73" s="70" t="s">
        <v>90</v>
      </c>
      <c r="F73" s="24" t="s">
        <v>91</v>
      </c>
      <c r="G73" s="71" t="s">
        <v>92</v>
      </c>
      <c r="H73" s="59"/>
    </row>
    <row r="74" spans="1:8" ht="25.5" customHeight="1" x14ac:dyDescent="0.25">
      <c r="A74" s="130" t="s">
        <v>75</v>
      </c>
      <c r="B74" s="142" t="s">
        <v>28</v>
      </c>
      <c r="C74" s="136" t="s">
        <v>46</v>
      </c>
      <c r="D74" s="72">
        <v>1</v>
      </c>
      <c r="E74" s="72"/>
      <c r="F74" s="72">
        <v>2.5</v>
      </c>
      <c r="G74" s="72">
        <f>20.41+23.6</f>
        <v>44.010000000000005</v>
      </c>
      <c r="H74" s="26">
        <f>G74*F74*D74</f>
        <v>110.02500000000001</v>
      </c>
    </row>
    <row r="75" spans="1:8" ht="25.5" customHeight="1" x14ac:dyDescent="0.25">
      <c r="A75" s="131"/>
      <c r="B75" s="143"/>
      <c r="C75" s="137"/>
      <c r="D75" s="72">
        <v>1</v>
      </c>
      <c r="E75" s="72"/>
      <c r="F75" s="72">
        <v>4</v>
      </c>
      <c r="G75" s="72">
        <f>20.41+23.6</f>
        <v>44.010000000000005</v>
      </c>
      <c r="H75" s="26">
        <f>G75*F75*D75</f>
        <v>176.04000000000002</v>
      </c>
    </row>
    <row r="76" spans="1:8" x14ac:dyDescent="0.25">
      <c r="A76" s="131"/>
      <c r="B76" s="143"/>
      <c r="C76" s="137"/>
      <c r="D76" s="72">
        <v>1</v>
      </c>
      <c r="E76" s="72"/>
      <c r="F76" s="72">
        <v>1.5</v>
      </c>
      <c r="G76" s="72">
        <v>23.58</v>
      </c>
      <c r="H76" s="26">
        <f>G76*F76*D76</f>
        <v>35.369999999999997</v>
      </c>
    </row>
    <row r="77" spans="1:8" x14ac:dyDescent="0.25">
      <c r="A77" s="131"/>
      <c r="B77" s="143"/>
      <c r="C77" s="137"/>
      <c r="D77" s="74">
        <v>1</v>
      </c>
      <c r="E77" s="72"/>
      <c r="F77" s="72">
        <v>2</v>
      </c>
      <c r="G77" s="91">
        <v>12</v>
      </c>
      <c r="H77" s="26">
        <f>G77*F77*D77</f>
        <v>24</v>
      </c>
    </row>
    <row r="78" spans="1:8" x14ac:dyDescent="0.25">
      <c r="A78" s="131"/>
      <c r="B78" s="143"/>
      <c r="C78" s="137"/>
      <c r="D78" s="74">
        <v>2</v>
      </c>
      <c r="E78" s="75"/>
      <c r="F78" s="75">
        <v>2.5</v>
      </c>
      <c r="G78" s="91">
        <v>3</v>
      </c>
      <c r="H78" s="26">
        <f>G78*F78*D78</f>
        <v>15</v>
      </c>
    </row>
    <row r="79" spans="1:8" x14ac:dyDescent="0.25">
      <c r="A79" s="132"/>
      <c r="B79" s="144"/>
      <c r="C79" s="138"/>
      <c r="D79" s="139" t="s">
        <v>3</v>
      </c>
      <c r="E79" s="140"/>
      <c r="F79" s="140"/>
      <c r="G79" s="141"/>
      <c r="H79" s="26">
        <f>SUM(H74:H78)</f>
        <v>360.43500000000006</v>
      </c>
    </row>
    <row r="80" spans="1:8" ht="25.5" x14ac:dyDescent="0.25">
      <c r="A80" s="83" t="s">
        <v>76</v>
      </c>
      <c r="B80" s="73" t="s">
        <v>72</v>
      </c>
      <c r="C80" s="82" t="s">
        <v>46</v>
      </c>
      <c r="D80" s="72"/>
      <c r="E80" s="72"/>
      <c r="F80" s="72"/>
      <c r="G80" s="72"/>
      <c r="H80" s="26">
        <f>H79</f>
        <v>360.43500000000006</v>
      </c>
    </row>
    <row r="81" spans="1:8" ht="25.5" x14ac:dyDescent="0.25">
      <c r="A81" s="83" t="s">
        <v>77</v>
      </c>
      <c r="B81" s="73" t="s">
        <v>115</v>
      </c>
      <c r="C81" s="82" t="s">
        <v>73</v>
      </c>
      <c r="D81" s="72"/>
      <c r="E81" s="72"/>
      <c r="F81" s="72"/>
      <c r="G81" s="72">
        <f>21.4+23.6+19.99</f>
        <v>64.989999999999995</v>
      </c>
      <c r="H81" s="26">
        <f>G81</f>
        <v>64.989999999999995</v>
      </c>
    </row>
    <row r="82" spans="1:8" ht="38.25" x14ac:dyDescent="0.25">
      <c r="A82" s="83" t="s">
        <v>78</v>
      </c>
      <c r="B82" s="73" t="s">
        <v>74</v>
      </c>
      <c r="C82" s="82" t="s">
        <v>46</v>
      </c>
      <c r="D82" s="72"/>
      <c r="E82" s="72"/>
      <c r="F82" s="72"/>
      <c r="G82" s="72"/>
      <c r="H82" s="26">
        <f>H79</f>
        <v>360.43500000000006</v>
      </c>
    </row>
    <row r="83" spans="1:8" x14ac:dyDescent="0.25">
      <c r="A83" s="56" t="s">
        <v>36</v>
      </c>
      <c r="B83" s="57" t="s">
        <v>79</v>
      </c>
      <c r="C83" s="58"/>
      <c r="D83" s="70" t="s">
        <v>89</v>
      </c>
      <c r="E83" s="70" t="s">
        <v>90</v>
      </c>
      <c r="F83" s="24" t="s">
        <v>91</v>
      </c>
      <c r="G83" s="71" t="s">
        <v>92</v>
      </c>
      <c r="H83" s="59"/>
    </row>
    <row r="84" spans="1:8" x14ac:dyDescent="0.25">
      <c r="A84" s="83" t="s">
        <v>82</v>
      </c>
      <c r="B84" s="73" t="s">
        <v>80</v>
      </c>
      <c r="C84" s="82" t="s">
        <v>46</v>
      </c>
      <c r="D84" s="72">
        <v>1</v>
      </c>
      <c r="E84" s="72">
        <v>4</v>
      </c>
      <c r="F84" s="72">
        <v>2.5</v>
      </c>
      <c r="G84" s="72"/>
      <c r="H84" s="26">
        <f>F84*E84*D84</f>
        <v>10</v>
      </c>
    </row>
    <row r="85" spans="1:8" ht="38.25" x14ac:dyDescent="0.25">
      <c r="A85" s="83" t="s">
        <v>83</v>
      </c>
      <c r="B85" s="73" t="s">
        <v>81</v>
      </c>
      <c r="C85" s="82" t="s">
        <v>46</v>
      </c>
      <c r="D85" s="72">
        <v>3</v>
      </c>
      <c r="E85" s="72">
        <v>4</v>
      </c>
      <c r="F85" s="72">
        <v>2.5</v>
      </c>
      <c r="G85" s="72"/>
      <c r="H85" s="26">
        <f>(H84+H86)*3</f>
        <v>35.67</v>
      </c>
    </row>
    <row r="86" spans="1:8" x14ac:dyDescent="0.25">
      <c r="A86" s="83" t="s">
        <v>98</v>
      </c>
      <c r="B86" s="73" t="s">
        <v>95</v>
      </c>
      <c r="C86" s="37" t="s">
        <v>46</v>
      </c>
      <c r="D86" s="72">
        <v>1</v>
      </c>
      <c r="E86" s="72">
        <v>0.9</v>
      </c>
      <c r="F86" s="84">
        <v>2.1</v>
      </c>
      <c r="G86" s="72"/>
      <c r="H86" s="85">
        <f>D86*E86*F86</f>
        <v>1.8900000000000001</v>
      </c>
    </row>
    <row r="87" spans="1:8" x14ac:dyDescent="0.25">
      <c r="A87" s="56">
        <v>3</v>
      </c>
      <c r="B87" s="57" t="s">
        <v>94</v>
      </c>
      <c r="C87" s="58"/>
      <c r="D87" s="70" t="s">
        <v>89</v>
      </c>
      <c r="E87" s="70" t="s">
        <v>90</v>
      </c>
      <c r="F87" s="24" t="s">
        <v>91</v>
      </c>
      <c r="G87" s="71" t="s">
        <v>92</v>
      </c>
      <c r="H87" s="59"/>
    </row>
    <row r="88" spans="1:8" x14ac:dyDescent="0.25">
      <c r="A88" s="130" t="s">
        <v>10</v>
      </c>
      <c r="B88" s="142" t="s">
        <v>86</v>
      </c>
      <c r="C88" s="136" t="s">
        <v>46</v>
      </c>
      <c r="D88" s="72">
        <v>5</v>
      </c>
      <c r="E88" s="72">
        <v>0.9</v>
      </c>
      <c r="F88" s="72">
        <v>0.7</v>
      </c>
      <c r="G88" s="72"/>
      <c r="H88" s="26">
        <f>F88*E88*D88</f>
        <v>3.15</v>
      </c>
    </row>
    <row r="89" spans="1:8" x14ac:dyDescent="0.25">
      <c r="A89" s="131"/>
      <c r="B89" s="143"/>
      <c r="C89" s="137"/>
      <c r="D89" s="72">
        <v>7</v>
      </c>
      <c r="E89" s="72">
        <v>1.4</v>
      </c>
      <c r="F89" s="72">
        <v>1.3</v>
      </c>
      <c r="G89" s="72"/>
      <c r="H89" s="26">
        <f>F89*E89*D89</f>
        <v>12.739999999999998</v>
      </c>
    </row>
    <row r="90" spans="1:8" x14ac:dyDescent="0.25">
      <c r="A90" s="131"/>
      <c r="B90" s="143"/>
      <c r="C90" s="137"/>
      <c r="D90" s="72">
        <v>1</v>
      </c>
      <c r="E90" s="72">
        <v>2.8</v>
      </c>
      <c r="F90" s="72">
        <v>2.2000000000000002</v>
      </c>
      <c r="G90" s="72"/>
      <c r="H90" s="26">
        <f>F90*E90*D90-(1*2.2)</f>
        <v>3.96</v>
      </c>
    </row>
    <row r="91" spans="1:8" x14ac:dyDescent="0.25">
      <c r="A91" s="132"/>
      <c r="B91" s="144"/>
      <c r="C91" s="138"/>
      <c r="D91" s="139" t="s">
        <v>3</v>
      </c>
      <c r="E91" s="140"/>
      <c r="F91" s="140"/>
      <c r="G91" s="141"/>
      <c r="H91" s="26">
        <f>SUM(H88:H90)</f>
        <v>19.849999999999998</v>
      </c>
    </row>
    <row r="92" spans="1:8" x14ac:dyDescent="0.25">
      <c r="A92" s="130" t="s">
        <v>12</v>
      </c>
      <c r="B92" s="142" t="s">
        <v>80</v>
      </c>
      <c r="C92" s="136" t="s">
        <v>46</v>
      </c>
      <c r="D92" s="72">
        <v>1</v>
      </c>
      <c r="E92" s="72">
        <v>1</v>
      </c>
      <c r="F92" s="72">
        <v>2.2000000000000002</v>
      </c>
      <c r="G92" s="72"/>
      <c r="H92" s="26">
        <f>F92*E92*D92</f>
        <v>2.2000000000000002</v>
      </c>
    </row>
    <row r="93" spans="1:8" x14ac:dyDescent="0.25">
      <c r="A93" s="131"/>
      <c r="B93" s="143"/>
      <c r="C93" s="137"/>
      <c r="D93" s="72">
        <v>1</v>
      </c>
      <c r="E93" s="72">
        <v>0.8</v>
      </c>
      <c r="F93" s="72">
        <v>2.1</v>
      </c>
      <c r="G93" s="72"/>
      <c r="H93" s="26">
        <f>F93*E93*D93</f>
        <v>1.6800000000000002</v>
      </c>
    </row>
    <row r="94" spans="1:8" x14ac:dyDescent="0.25">
      <c r="A94" s="132"/>
      <c r="B94" s="144"/>
      <c r="C94" s="138"/>
      <c r="D94" s="139" t="s">
        <v>3</v>
      </c>
      <c r="E94" s="140"/>
      <c r="F94" s="140"/>
      <c r="G94" s="141"/>
      <c r="H94" s="26">
        <f>SUM(H92:H93)</f>
        <v>3.8800000000000003</v>
      </c>
    </row>
    <row r="95" spans="1:8" x14ac:dyDescent="0.25">
      <c r="A95" s="130" t="s">
        <v>16</v>
      </c>
      <c r="B95" s="142" t="s">
        <v>95</v>
      </c>
      <c r="C95" s="136" t="s">
        <v>46</v>
      </c>
      <c r="D95" s="72">
        <v>1</v>
      </c>
      <c r="E95" s="72">
        <v>1</v>
      </c>
      <c r="F95" s="72">
        <v>2.2000000000000002</v>
      </c>
      <c r="G95" s="72"/>
      <c r="H95" s="26">
        <f>F95*E95*D95</f>
        <v>2.2000000000000002</v>
      </c>
    </row>
    <row r="96" spans="1:8" x14ac:dyDescent="0.25">
      <c r="A96" s="131"/>
      <c r="B96" s="143"/>
      <c r="C96" s="137"/>
      <c r="D96" s="72">
        <v>1</v>
      </c>
      <c r="E96" s="72">
        <v>0.8</v>
      </c>
      <c r="F96" s="72">
        <v>2.1</v>
      </c>
      <c r="G96" s="72"/>
      <c r="H96" s="26">
        <f>F96*E96*D96</f>
        <v>1.6800000000000002</v>
      </c>
    </row>
    <row r="97" spans="1:8" x14ac:dyDescent="0.25">
      <c r="A97" s="132"/>
      <c r="B97" s="144"/>
      <c r="C97" s="138"/>
      <c r="D97" s="139" t="s">
        <v>3</v>
      </c>
      <c r="E97" s="140"/>
      <c r="F97" s="140"/>
      <c r="G97" s="141"/>
      <c r="H97" s="26">
        <f>SUM(H95:H96)</f>
        <v>3.8800000000000003</v>
      </c>
    </row>
    <row r="98" spans="1:8" ht="38.25" x14ac:dyDescent="0.25">
      <c r="A98" s="7" t="s">
        <v>27</v>
      </c>
      <c r="B98" s="87" t="s">
        <v>81</v>
      </c>
      <c r="C98" s="37" t="s">
        <v>46</v>
      </c>
      <c r="D98" s="75">
        <v>2</v>
      </c>
      <c r="E98" s="75"/>
      <c r="F98" s="75"/>
      <c r="G98" s="75"/>
      <c r="H98" s="88">
        <f>(H91+H94+H97)*D98</f>
        <v>55.219999999999992</v>
      </c>
    </row>
    <row r="99" spans="1:8" x14ac:dyDescent="0.25">
      <c r="A99" s="56">
        <v>4</v>
      </c>
      <c r="B99" s="57" t="s">
        <v>99</v>
      </c>
      <c r="C99" s="58"/>
      <c r="D99" s="70" t="s">
        <v>89</v>
      </c>
      <c r="E99" s="70" t="s">
        <v>90</v>
      </c>
      <c r="F99" s="24" t="s">
        <v>91</v>
      </c>
      <c r="G99" s="71" t="s">
        <v>92</v>
      </c>
      <c r="H99" s="59"/>
    </row>
    <row r="100" spans="1:8" ht="25.5" x14ac:dyDescent="0.25">
      <c r="A100" s="7" t="s">
        <v>100</v>
      </c>
      <c r="B100" s="38" t="s">
        <v>43</v>
      </c>
      <c r="C100" s="37" t="s">
        <v>45</v>
      </c>
      <c r="D100" s="75">
        <v>1</v>
      </c>
      <c r="E100" s="75">
        <v>2.9</v>
      </c>
      <c r="F100" s="75">
        <v>0.75</v>
      </c>
      <c r="G100" s="75">
        <v>2.08</v>
      </c>
      <c r="H100" s="88">
        <f>G100*E100*D100*F100</f>
        <v>4.524</v>
      </c>
    </row>
    <row r="101" spans="1:8" ht="38.25" x14ac:dyDescent="0.25">
      <c r="A101" s="7" t="s">
        <v>101</v>
      </c>
      <c r="B101" s="38" t="s">
        <v>53</v>
      </c>
      <c r="C101" s="37" t="s">
        <v>46</v>
      </c>
      <c r="D101" s="75">
        <v>8</v>
      </c>
      <c r="E101" s="75">
        <v>1</v>
      </c>
      <c r="F101" s="89">
        <v>0.185</v>
      </c>
      <c r="G101" s="75"/>
      <c r="H101" s="88">
        <f>F101*E101*D101</f>
        <v>1.48</v>
      </c>
    </row>
    <row r="102" spans="1:8" ht="25.5" x14ac:dyDescent="0.25">
      <c r="A102" s="7" t="s">
        <v>102</v>
      </c>
      <c r="B102" s="38" t="s">
        <v>110</v>
      </c>
      <c r="C102" s="37" t="s">
        <v>45</v>
      </c>
      <c r="D102" s="75">
        <v>1</v>
      </c>
      <c r="E102" s="75">
        <f>1.54+1.08+(8*0.085)</f>
        <v>3.3000000000000003</v>
      </c>
      <c r="F102" s="75">
        <v>0.1</v>
      </c>
      <c r="G102" s="75"/>
      <c r="H102" s="88">
        <f>D102*E102*F102</f>
        <v>0.33000000000000007</v>
      </c>
    </row>
    <row r="103" spans="1:8" ht="25.5" x14ac:dyDescent="0.25">
      <c r="A103" s="7" t="s">
        <v>103</v>
      </c>
      <c r="B103" s="38" t="s">
        <v>59</v>
      </c>
      <c r="C103" s="37" t="s">
        <v>60</v>
      </c>
      <c r="D103" s="75">
        <v>60</v>
      </c>
      <c r="E103" s="75"/>
      <c r="F103" s="75"/>
      <c r="G103" s="75"/>
      <c r="H103" s="88">
        <f>H102*D103</f>
        <v>19.800000000000004</v>
      </c>
    </row>
    <row r="104" spans="1:8" ht="38.25" x14ac:dyDescent="0.25">
      <c r="A104" s="7" t="s">
        <v>104</v>
      </c>
      <c r="B104" s="38" t="s">
        <v>112</v>
      </c>
      <c r="C104" s="37" t="s">
        <v>46</v>
      </c>
      <c r="D104" s="75">
        <v>1</v>
      </c>
      <c r="E104" s="75">
        <v>1.9</v>
      </c>
      <c r="F104" s="75">
        <v>1.8</v>
      </c>
      <c r="G104" s="75">
        <v>1.08</v>
      </c>
      <c r="H104" s="88">
        <f>(G104+E104)*F104</f>
        <v>5.3639999999999999</v>
      </c>
    </row>
    <row r="105" spans="1:8" ht="25.5" x14ac:dyDescent="0.25">
      <c r="A105" s="7" t="s">
        <v>105</v>
      </c>
      <c r="B105" s="38" t="s">
        <v>28</v>
      </c>
      <c r="C105" s="37" t="s">
        <v>46</v>
      </c>
      <c r="D105" s="75">
        <v>1</v>
      </c>
      <c r="E105" s="75">
        <v>1.9</v>
      </c>
      <c r="F105" s="75">
        <v>1.08</v>
      </c>
      <c r="G105" s="75">
        <v>0.75</v>
      </c>
      <c r="H105" s="88">
        <f>(E105+F105)*G105</f>
        <v>2.2349999999999999</v>
      </c>
    </row>
    <row r="106" spans="1:8" ht="25.5" x14ac:dyDescent="0.25">
      <c r="A106" s="7" t="s">
        <v>106</v>
      </c>
      <c r="B106" s="38" t="s">
        <v>72</v>
      </c>
      <c r="C106" s="37" t="s">
        <v>46</v>
      </c>
      <c r="D106" s="75">
        <v>1</v>
      </c>
      <c r="E106" s="75">
        <v>1.9</v>
      </c>
      <c r="F106" s="75">
        <v>1.08</v>
      </c>
      <c r="G106" s="75">
        <v>0.75</v>
      </c>
      <c r="H106" s="88">
        <f>(E106+F106)*G106</f>
        <v>2.2349999999999999</v>
      </c>
    </row>
    <row r="107" spans="1:8" ht="25.5" x14ac:dyDescent="0.25">
      <c r="A107" s="7" t="s">
        <v>107</v>
      </c>
      <c r="B107" s="38" t="s">
        <v>113</v>
      </c>
      <c r="C107" s="37" t="s">
        <v>46</v>
      </c>
      <c r="D107" s="75">
        <v>1</v>
      </c>
      <c r="E107" s="75">
        <v>2.9</v>
      </c>
      <c r="F107" s="75">
        <v>1.08</v>
      </c>
      <c r="G107" s="75">
        <v>1</v>
      </c>
      <c r="H107" s="88">
        <f>G107*(F107+E107)*D107</f>
        <v>3.98</v>
      </c>
    </row>
    <row r="108" spans="1:8" ht="38.25" x14ac:dyDescent="0.25">
      <c r="A108" s="7" t="s">
        <v>108</v>
      </c>
      <c r="B108" s="38" t="s">
        <v>74</v>
      </c>
      <c r="C108" s="37" t="s">
        <v>46</v>
      </c>
      <c r="D108" s="75">
        <v>1</v>
      </c>
      <c r="E108" s="75">
        <v>1.9</v>
      </c>
      <c r="F108" s="75">
        <v>1.08</v>
      </c>
      <c r="G108" s="75">
        <v>0.75</v>
      </c>
      <c r="H108" s="88">
        <f>(E108+F108)*G108</f>
        <v>2.2349999999999999</v>
      </c>
    </row>
    <row r="109" spans="1:8" x14ac:dyDescent="0.25">
      <c r="A109" s="8">
        <v>5</v>
      </c>
      <c r="B109" s="64" t="s">
        <v>99</v>
      </c>
      <c r="C109" s="65"/>
      <c r="D109" s="96" t="s">
        <v>89</v>
      </c>
      <c r="E109" s="96" t="s">
        <v>90</v>
      </c>
      <c r="F109" s="97" t="s">
        <v>91</v>
      </c>
      <c r="G109" s="98" t="s">
        <v>92</v>
      </c>
      <c r="H109" s="66"/>
    </row>
    <row r="110" spans="1:8" ht="25.5" customHeight="1" x14ac:dyDescent="0.25">
      <c r="A110" s="130" t="s">
        <v>118</v>
      </c>
      <c r="B110" s="142" t="s">
        <v>43</v>
      </c>
      <c r="C110" s="136" t="s">
        <v>45</v>
      </c>
      <c r="D110" s="75">
        <v>2</v>
      </c>
      <c r="E110" s="75">
        <v>0.6</v>
      </c>
      <c r="F110" s="75">
        <v>0.6</v>
      </c>
      <c r="G110" s="75">
        <v>1</v>
      </c>
      <c r="H110" s="88">
        <f>G110*E110*D110*F110</f>
        <v>0.72</v>
      </c>
    </row>
    <row r="111" spans="1:8" x14ac:dyDescent="0.25">
      <c r="A111" s="131"/>
      <c r="B111" s="143"/>
      <c r="C111" s="137"/>
      <c r="D111" s="75">
        <v>1</v>
      </c>
      <c r="E111" s="75">
        <v>0.2</v>
      </c>
      <c r="F111" s="75">
        <v>0.4</v>
      </c>
      <c r="G111" s="75">
        <v>19.2</v>
      </c>
      <c r="H111" s="88">
        <f>G111*E111*D111*F111</f>
        <v>1.536</v>
      </c>
    </row>
    <row r="112" spans="1:8" x14ac:dyDescent="0.25">
      <c r="A112" s="132"/>
      <c r="B112" s="144"/>
      <c r="C112" s="138"/>
      <c r="D112" s="139" t="s">
        <v>3</v>
      </c>
      <c r="E112" s="140"/>
      <c r="F112" s="140"/>
      <c r="G112" s="141"/>
      <c r="H112" s="26">
        <f>SUM(H110:H111)</f>
        <v>2.2560000000000002</v>
      </c>
    </row>
    <row r="113" spans="1:8" ht="38.25" customHeight="1" x14ac:dyDescent="0.25">
      <c r="A113" s="130" t="s">
        <v>119</v>
      </c>
      <c r="B113" s="133" t="s">
        <v>53</v>
      </c>
      <c r="C113" s="136" t="s">
        <v>46</v>
      </c>
      <c r="D113" s="75">
        <v>1</v>
      </c>
      <c r="E113" s="75">
        <v>19.2</v>
      </c>
      <c r="F113" s="89">
        <v>0.14000000000000001</v>
      </c>
      <c r="G113" s="75">
        <v>0.3</v>
      </c>
      <c r="H113" s="88">
        <f>(G113+G113)*E113*D113</f>
        <v>11.52</v>
      </c>
    </row>
    <row r="114" spans="1:8" x14ac:dyDescent="0.25">
      <c r="A114" s="131"/>
      <c r="B114" s="134"/>
      <c r="C114" s="137"/>
      <c r="D114" s="75">
        <v>2</v>
      </c>
      <c r="E114" s="75">
        <v>0.6</v>
      </c>
      <c r="F114" s="89">
        <v>0.14000000000000001</v>
      </c>
      <c r="G114" s="75">
        <v>0.3</v>
      </c>
      <c r="H114" s="88">
        <f>(2*(G114+F114))*E114*D114</f>
        <v>1.056</v>
      </c>
    </row>
    <row r="115" spans="1:8" x14ac:dyDescent="0.25">
      <c r="A115" s="132"/>
      <c r="B115" s="135"/>
      <c r="C115" s="138"/>
      <c r="D115" s="139" t="s">
        <v>3</v>
      </c>
      <c r="E115" s="140"/>
      <c r="F115" s="140"/>
      <c r="G115" s="141"/>
      <c r="H115" s="26">
        <f>SUM(H113:H114)</f>
        <v>12.576000000000001</v>
      </c>
    </row>
    <row r="116" spans="1:8" ht="25.5" customHeight="1" x14ac:dyDescent="0.25">
      <c r="A116" s="130" t="s">
        <v>120</v>
      </c>
      <c r="B116" s="142" t="s">
        <v>110</v>
      </c>
      <c r="C116" s="136" t="s">
        <v>45</v>
      </c>
      <c r="D116" s="75">
        <v>1</v>
      </c>
      <c r="E116" s="75">
        <v>0.14000000000000001</v>
      </c>
      <c r="F116" s="75">
        <v>0.3</v>
      </c>
      <c r="G116" s="75">
        <v>19.2</v>
      </c>
      <c r="H116" s="88">
        <f>G116*F116*E116*D116</f>
        <v>0.80640000000000001</v>
      </c>
    </row>
    <row r="117" spans="1:8" x14ac:dyDescent="0.25">
      <c r="A117" s="131"/>
      <c r="B117" s="143"/>
      <c r="C117" s="137"/>
      <c r="D117" s="75">
        <v>2</v>
      </c>
      <c r="E117" s="75">
        <v>0.14000000000000001</v>
      </c>
      <c r="F117" s="75">
        <v>0.3</v>
      </c>
      <c r="G117" s="75">
        <v>0.6</v>
      </c>
      <c r="H117" s="88">
        <f>G117*F117*E117*D117</f>
        <v>5.04E-2</v>
      </c>
    </row>
    <row r="118" spans="1:8" x14ac:dyDescent="0.25">
      <c r="A118" s="132"/>
      <c r="B118" s="144"/>
      <c r="C118" s="138"/>
      <c r="D118" s="139" t="s">
        <v>3</v>
      </c>
      <c r="E118" s="140"/>
      <c r="F118" s="140"/>
      <c r="G118" s="141"/>
      <c r="H118" s="26">
        <f>SUM(H116:H117)</f>
        <v>0.85680000000000001</v>
      </c>
    </row>
    <row r="119" spans="1:8" x14ac:dyDescent="0.25">
      <c r="A119" s="130" t="s">
        <v>121</v>
      </c>
      <c r="B119" s="133" t="s">
        <v>53</v>
      </c>
      <c r="C119" s="136" t="s">
        <v>46</v>
      </c>
      <c r="D119" s="75">
        <v>1</v>
      </c>
      <c r="E119" s="75">
        <f>2.35+3.85</f>
        <v>6.2</v>
      </c>
      <c r="F119" s="89">
        <v>0.14000000000000001</v>
      </c>
      <c r="G119" s="75">
        <v>0.3</v>
      </c>
      <c r="H119" s="88">
        <f>(G119+G119+F119)*E119*D119</f>
        <v>4.5880000000000001</v>
      </c>
    </row>
    <row r="120" spans="1:8" x14ac:dyDescent="0.25">
      <c r="A120" s="131"/>
      <c r="B120" s="134"/>
      <c r="C120" s="137"/>
      <c r="D120" s="75">
        <v>2</v>
      </c>
      <c r="E120" s="75">
        <v>3</v>
      </c>
      <c r="F120" s="89">
        <v>0.14000000000000001</v>
      </c>
      <c r="G120" s="75">
        <v>0.3</v>
      </c>
      <c r="H120" s="88">
        <f>(2*(G120+F120))*E120*D120</f>
        <v>5.28</v>
      </c>
    </row>
    <row r="121" spans="1:8" x14ac:dyDescent="0.25">
      <c r="A121" s="132"/>
      <c r="B121" s="135"/>
      <c r="C121" s="138"/>
      <c r="D121" s="139" t="s">
        <v>3</v>
      </c>
      <c r="E121" s="140"/>
      <c r="F121" s="140"/>
      <c r="G121" s="141"/>
      <c r="H121" s="26">
        <f>SUM(H119:H120)</f>
        <v>9.8680000000000003</v>
      </c>
    </row>
    <row r="122" spans="1:8" ht="25.5" x14ac:dyDescent="0.25">
      <c r="A122" s="7" t="s">
        <v>122</v>
      </c>
      <c r="B122" s="38" t="s">
        <v>59</v>
      </c>
      <c r="C122" s="37" t="s">
        <v>60</v>
      </c>
      <c r="D122" s="75">
        <v>45</v>
      </c>
      <c r="E122" s="75"/>
      <c r="F122" s="75"/>
      <c r="G122" s="75"/>
      <c r="H122" s="88">
        <f>H116*D122</f>
        <v>36.287999999999997</v>
      </c>
    </row>
    <row r="123" spans="1:8" ht="25.5" x14ac:dyDescent="0.25">
      <c r="A123" s="7" t="s">
        <v>123</v>
      </c>
      <c r="B123" s="38" t="s">
        <v>61</v>
      </c>
      <c r="C123" s="37" t="s">
        <v>60</v>
      </c>
      <c r="D123" s="75">
        <v>45</v>
      </c>
      <c r="E123" s="75"/>
      <c r="F123" s="75"/>
      <c r="G123" s="75"/>
      <c r="H123" s="88">
        <f>H117*D123</f>
        <v>2.2679999999999998</v>
      </c>
    </row>
    <row r="124" spans="1:8" ht="51" x14ac:dyDescent="0.25">
      <c r="A124" s="7" t="s">
        <v>124</v>
      </c>
      <c r="B124" s="38" t="s">
        <v>132</v>
      </c>
      <c r="C124" s="37" t="s">
        <v>46</v>
      </c>
      <c r="D124" s="75">
        <v>1</v>
      </c>
      <c r="E124" s="75">
        <v>2.7</v>
      </c>
      <c r="F124" s="75">
        <f>3.8+2.2</f>
        <v>6</v>
      </c>
      <c r="G124" s="75"/>
      <c r="H124" s="88">
        <f>D124*E124*F124</f>
        <v>16.200000000000003</v>
      </c>
    </row>
    <row r="125" spans="1:8" ht="25.5" x14ac:dyDescent="0.25">
      <c r="A125" s="7" t="s">
        <v>125</v>
      </c>
      <c r="B125" s="38" t="s">
        <v>28</v>
      </c>
      <c r="C125" s="37" t="s">
        <v>46</v>
      </c>
      <c r="D125" s="75">
        <v>2</v>
      </c>
      <c r="E125" s="75"/>
      <c r="F125" s="75"/>
      <c r="G125" s="75"/>
      <c r="H125" s="88">
        <f>H124*D125</f>
        <v>32.400000000000006</v>
      </c>
    </row>
    <row r="126" spans="1:8" ht="25.5" x14ac:dyDescent="0.25">
      <c r="A126" s="7" t="s">
        <v>126</v>
      </c>
      <c r="B126" s="38" t="s">
        <v>72</v>
      </c>
      <c r="C126" s="37" t="s">
        <v>46</v>
      </c>
      <c r="D126" s="75">
        <v>2</v>
      </c>
      <c r="E126" s="75"/>
      <c r="F126" s="75"/>
      <c r="G126" s="75"/>
      <c r="H126" s="88">
        <f>D126*H124</f>
        <v>32.400000000000006</v>
      </c>
    </row>
    <row r="127" spans="1:8" ht="38.25" x14ac:dyDescent="0.25">
      <c r="A127" s="7" t="s">
        <v>130</v>
      </c>
      <c r="B127" s="38" t="s">
        <v>74</v>
      </c>
      <c r="C127" s="37" t="s">
        <v>46</v>
      </c>
      <c r="D127" s="75">
        <v>2</v>
      </c>
      <c r="E127" s="75"/>
      <c r="F127" s="75"/>
      <c r="G127" s="75"/>
      <c r="H127" s="88">
        <f>D127*H124</f>
        <v>32.400000000000006</v>
      </c>
    </row>
    <row r="128" spans="1:8" ht="38.25" x14ac:dyDescent="0.25">
      <c r="A128" s="7" t="s">
        <v>131</v>
      </c>
      <c r="B128" s="38" t="s">
        <v>148</v>
      </c>
      <c r="C128" s="37" t="s">
        <v>149</v>
      </c>
      <c r="D128" s="75">
        <v>1</v>
      </c>
      <c r="E128" s="75"/>
      <c r="F128" s="75"/>
      <c r="G128" s="75"/>
      <c r="H128" s="88">
        <f>D128</f>
        <v>1</v>
      </c>
    </row>
    <row r="129" spans="1:8" ht="51" x14ac:dyDescent="0.25">
      <c r="A129" s="7" t="s">
        <v>133</v>
      </c>
      <c r="B129" s="38" t="s">
        <v>150</v>
      </c>
      <c r="C129" s="37" t="s">
        <v>149</v>
      </c>
      <c r="D129" s="75">
        <v>1</v>
      </c>
      <c r="E129" s="75"/>
      <c r="F129" s="75"/>
      <c r="G129" s="75"/>
      <c r="H129" s="88">
        <f t="shared" ref="H129:H155" si="5">D129</f>
        <v>1</v>
      </c>
    </row>
    <row r="130" spans="1:8" ht="38.25" x14ac:dyDescent="0.25">
      <c r="A130" s="7" t="s">
        <v>134</v>
      </c>
      <c r="B130" s="38" t="s">
        <v>151</v>
      </c>
      <c r="C130" s="37" t="s">
        <v>46</v>
      </c>
      <c r="D130" s="75">
        <f>0.7*0.6</f>
        <v>0.42</v>
      </c>
      <c r="E130" s="75"/>
      <c r="F130" s="75"/>
      <c r="G130" s="75"/>
      <c r="H130" s="88">
        <f t="shared" si="5"/>
        <v>0.42</v>
      </c>
    </row>
    <row r="131" spans="1:8" x14ac:dyDescent="0.25">
      <c r="A131" s="7" t="s">
        <v>135</v>
      </c>
      <c r="B131" s="38" t="s">
        <v>152</v>
      </c>
      <c r="C131" s="37" t="s">
        <v>46</v>
      </c>
      <c r="D131" s="75">
        <f>D130</f>
        <v>0.42</v>
      </c>
      <c r="E131" s="75"/>
      <c r="F131" s="75"/>
      <c r="G131" s="75"/>
      <c r="H131" s="88">
        <f t="shared" si="5"/>
        <v>0.42</v>
      </c>
    </row>
    <row r="132" spans="1:8" ht="38.25" x14ac:dyDescent="0.25">
      <c r="A132" s="7" t="s">
        <v>136</v>
      </c>
      <c r="B132" s="38" t="s">
        <v>153</v>
      </c>
      <c r="C132" s="37" t="s">
        <v>46</v>
      </c>
      <c r="D132" s="75">
        <f>8.42+17.23</f>
        <v>25.65</v>
      </c>
      <c r="E132" s="75"/>
      <c r="F132" s="75"/>
      <c r="G132" s="75"/>
      <c r="H132" s="88">
        <f t="shared" si="5"/>
        <v>25.65</v>
      </c>
    </row>
    <row r="133" spans="1:8" x14ac:dyDescent="0.25">
      <c r="A133" s="7" t="s">
        <v>137</v>
      </c>
      <c r="B133" s="38" t="s">
        <v>154</v>
      </c>
      <c r="C133" s="37" t="s">
        <v>46</v>
      </c>
      <c r="D133" s="75">
        <f>D132</f>
        <v>25.65</v>
      </c>
      <c r="E133" s="75"/>
      <c r="F133" s="75"/>
      <c r="G133" s="75"/>
      <c r="H133" s="88">
        <f t="shared" si="5"/>
        <v>25.65</v>
      </c>
    </row>
    <row r="134" spans="1:8" ht="25.5" x14ac:dyDescent="0.25">
      <c r="A134" s="7" t="s">
        <v>138</v>
      </c>
      <c r="B134" s="38" t="s">
        <v>155</v>
      </c>
      <c r="C134" s="37" t="s">
        <v>46</v>
      </c>
      <c r="D134" s="75">
        <f>D133</f>
        <v>25.65</v>
      </c>
      <c r="E134" s="75"/>
      <c r="F134" s="75"/>
      <c r="G134" s="75"/>
      <c r="H134" s="88">
        <f t="shared" si="5"/>
        <v>25.65</v>
      </c>
    </row>
    <row r="135" spans="1:8" ht="38.25" x14ac:dyDescent="0.25">
      <c r="A135" s="7" t="s">
        <v>139</v>
      </c>
      <c r="B135" s="38" t="s">
        <v>156</v>
      </c>
      <c r="C135" s="37" t="s">
        <v>46</v>
      </c>
      <c r="D135" s="75">
        <f>D134</f>
        <v>25.65</v>
      </c>
      <c r="E135" s="75"/>
      <c r="F135" s="75"/>
      <c r="G135" s="75"/>
      <c r="H135" s="88">
        <f t="shared" si="5"/>
        <v>25.65</v>
      </c>
    </row>
    <row r="136" spans="1:8" ht="25.5" x14ac:dyDescent="0.25">
      <c r="A136" s="7" t="s">
        <v>140</v>
      </c>
      <c r="B136" s="38" t="s">
        <v>171</v>
      </c>
      <c r="C136" s="37" t="s">
        <v>73</v>
      </c>
      <c r="D136" s="75">
        <f>((3.8+2.2)*2)+4.9+1.35</f>
        <v>18.25</v>
      </c>
      <c r="E136" s="75"/>
      <c r="F136" s="75"/>
      <c r="G136" s="75"/>
      <c r="H136" s="88">
        <f t="shared" si="5"/>
        <v>18.25</v>
      </c>
    </row>
    <row r="137" spans="1:8" ht="38.25" x14ac:dyDescent="0.25">
      <c r="A137" s="7" t="s">
        <v>141</v>
      </c>
      <c r="B137" s="38" t="s">
        <v>157</v>
      </c>
      <c r="C137" s="37" t="s">
        <v>149</v>
      </c>
      <c r="D137" s="75">
        <v>4</v>
      </c>
      <c r="E137" s="75"/>
      <c r="F137" s="75"/>
      <c r="G137" s="75"/>
      <c r="H137" s="88">
        <f t="shared" si="5"/>
        <v>4</v>
      </c>
    </row>
    <row r="138" spans="1:8" ht="51" x14ac:dyDescent="0.25">
      <c r="A138" s="7" t="s">
        <v>142</v>
      </c>
      <c r="B138" s="38" t="s">
        <v>158</v>
      </c>
      <c r="C138" s="37" t="s">
        <v>46</v>
      </c>
      <c r="D138" s="75">
        <v>34.46</v>
      </c>
      <c r="E138" s="75"/>
      <c r="F138" s="75"/>
      <c r="G138" s="75"/>
      <c r="H138" s="88">
        <f t="shared" si="5"/>
        <v>34.46</v>
      </c>
    </row>
    <row r="139" spans="1:8" ht="25.5" x14ac:dyDescent="0.25">
      <c r="A139" s="7" t="s">
        <v>143</v>
      </c>
      <c r="B139" s="38" t="s">
        <v>159</v>
      </c>
      <c r="C139" s="37" t="s">
        <v>46</v>
      </c>
      <c r="D139" s="75">
        <v>34.46</v>
      </c>
      <c r="E139" s="75"/>
      <c r="F139" s="75"/>
      <c r="G139" s="75"/>
      <c r="H139" s="88">
        <f t="shared" si="5"/>
        <v>34.46</v>
      </c>
    </row>
    <row r="140" spans="1:8" ht="25.5" x14ac:dyDescent="0.25">
      <c r="A140" s="7" t="s">
        <v>144</v>
      </c>
      <c r="B140" s="38" t="s">
        <v>169</v>
      </c>
      <c r="C140" s="37" t="s">
        <v>73</v>
      </c>
      <c r="D140" s="75">
        <f>12.95+1.35+1.35</f>
        <v>15.649999999999999</v>
      </c>
      <c r="E140" s="75"/>
      <c r="F140" s="75"/>
      <c r="G140" s="75"/>
      <c r="H140" s="88">
        <f t="shared" si="5"/>
        <v>15.649999999999999</v>
      </c>
    </row>
    <row r="141" spans="1:8" ht="25.5" x14ac:dyDescent="0.25">
      <c r="A141" s="7" t="s">
        <v>145</v>
      </c>
      <c r="B141" s="38" t="s">
        <v>115</v>
      </c>
      <c r="C141" s="37" t="s">
        <v>73</v>
      </c>
      <c r="D141" s="75">
        <v>77.599999999999994</v>
      </c>
      <c r="E141" s="75"/>
      <c r="F141" s="75"/>
      <c r="G141" s="75"/>
      <c r="H141" s="88">
        <f t="shared" si="5"/>
        <v>77.599999999999994</v>
      </c>
    </row>
    <row r="142" spans="1:8" ht="38.25" x14ac:dyDescent="0.25">
      <c r="A142" s="7" t="s">
        <v>146</v>
      </c>
      <c r="B142" s="38" t="s">
        <v>172</v>
      </c>
      <c r="C142" s="37" t="s">
        <v>149</v>
      </c>
      <c r="D142" s="75">
        <v>9</v>
      </c>
      <c r="E142" s="75"/>
      <c r="F142" s="75"/>
      <c r="G142" s="75"/>
      <c r="H142" s="88">
        <f t="shared" si="5"/>
        <v>9</v>
      </c>
    </row>
    <row r="143" spans="1:8" ht="38.25" x14ac:dyDescent="0.25">
      <c r="A143" s="7" t="s">
        <v>147</v>
      </c>
      <c r="B143" s="38" t="s">
        <v>173</v>
      </c>
      <c r="C143" s="37" t="s">
        <v>149</v>
      </c>
      <c r="D143" s="75">
        <v>12</v>
      </c>
      <c r="E143" s="75"/>
      <c r="F143" s="75"/>
      <c r="G143" s="75"/>
      <c r="H143" s="88">
        <f t="shared" si="5"/>
        <v>12</v>
      </c>
    </row>
    <row r="144" spans="1:8" ht="38.25" x14ac:dyDescent="0.25">
      <c r="A144" s="7" t="s">
        <v>160</v>
      </c>
      <c r="B144" s="38" t="s">
        <v>174</v>
      </c>
      <c r="C144" s="37" t="s">
        <v>149</v>
      </c>
      <c r="D144" s="75">
        <v>3</v>
      </c>
      <c r="E144" s="75"/>
      <c r="F144" s="75"/>
      <c r="G144" s="75"/>
      <c r="H144" s="88">
        <f t="shared" si="5"/>
        <v>3</v>
      </c>
    </row>
    <row r="145" spans="1:8" ht="38.25" x14ac:dyDescent="0.25">
      <c r="A145" s="7" t="s">
        <v>161</v>
      </c>
      <c r="B145" s="38" t="s">
        <v>175</v>
      </c>
      <c r="C145" s="37" t="s">
        <v>149</v>
      </c>
      <c r="D145" s="75">
        <v>8</v>
      </c>
      <c r="E145" s="75"/>
      <c r="F145" s="75"/>
      <c r="G145" s="75"/>
      <c r="H145" s="88">
        <f t="shared" si="5"/>
        <v>8</v>
      </c>
    </row>
    <row r="146" spans="1:8" ht="38.25" x14ac:dyDescent="0.25">
      <c r="A146" s="7" t="s">
        <v>162</v>
      </c>
      <c r="B146" s="38" t="s">
        <v>176</v>
      </c>
      <c r="C146" s="37" t="s">
        <v>149</v>
      </c>
      <c r="D146" s="75">
        <v>1</v>
      </c>
      <c r="E146" s="75"/>
      <c r="F146" s="75"/>
      <c r="G146" s="75"/>
      <c r="H146" s="88">
        <f t="shared" si="5"/>
        <v>1</v>
      </c>
    </row>
    <row r="147" spans="1:8" ht="51" x14ac:dyDescent="0.25">
      <c r="A147" s="7" t="s">
        <v>163</v>
      </c>
      <c r="B147" s="38" t="s">
        <v>177</v>
      </c>
      <c r="C147" s="37" t="s">
        <v>149</v>
      </c>
      <c r="D147" s="75">
        <v>2</v>
      </c>
      <c r="E147" s="75"/>
      <c r="F147" s="75"/>
      <c r="G147" s="75"/>
      <c r="H147" s="88">
        <f t="shared" si="5"/>
        <v>2</v>
      </c>
    </row>
    <row r="148" spans="1:8" x14ac:dyDescent="0.25">
      <c r="A148" s="7" t="s">
        <v>164</v>
      </c>
      <c r="B148" s="38" t="s">
        <v>180</v>
      </c>
      <c r="C148" s="37" t="s">
        <v>149</v>
      </c>
      <c r="D148" s="75">
        <v>9</v>
      </c>
      <c r="E148" s="75"/>
      <c r="F148" s="75"/>
      <c r="G148" s="75"/>
      <c r="H148" s="88">
        <f t="shared" si="5"/>
        <v>9</v>
      </c>
    </row>
    <row r="149" spans="1:8" ht="38.25" x14ac:dyDescent="0.25">
      <c r="A149" s="7" t="s">
        <v>165</v>
      </c>
      <c r="B149" s="38" t="s">
        <v>181</v>
      </c>
      <c r="C149" s="37" t="s">
        <v>149</v>
      </c>
      <c r="D149" s="75">
        <v>5</v>
      </c>
      <c r="E149" s="75"/>
      <c r="F149" s="75"/>
      <c r="G149" s="75"/>
      <c r="H149" s="88">
        <f t="shared" si="5"/>
        <v>5</v>
      </c>
    </row>
    <row r="150" spans="1:8" x14ac:dyDescent="0.25">
      <c r="A150" s="7" t="s">
        <v>166</v>
      </c>
      <c r="B150" s="38" t="s">
        <v>182</v>
      </c>
      <c r="C150" s="37" t="s">
        <v>149</v>
      </c>
      <c r="D150" s="75">
        <v>8</v>
      </c>
      <c r="E150" s="75"/>
      <c r="F150" s="75"/>
      <c r="G150" s="75"/>
      <c r="H150" s="88">
        <f t="shared" si="5"/>
        <v>8</v>
      </c>
    </row>
    <row r="151" spans="1:8" x14ac:dyDescent="0.25">
      <c r="A151" s="7" t="s">
        <v>167</v>
      </c>
      <c r="B151" s="38" t="s">
        <v>188</v>
      </c>
      <c r="C151" s="37" t="s">
        <v>149</v>
      </c>
      <c r="D151" s="75">
        <v>12</v>
      </c>
      <c r="E151" s="75"/>
      <c r="F151" s="75"/>
      <c r="G151" s="75"/>
      <c r="H151" s="88">
        <f t="shared" si="5"/>
        <v>12</v>
      </c>
    </row>
    <row r="152" spans="1:8" ht="51" x14ac:dyDescent="0.25">
      <c r="A152" s="7" t="s">
        <v>168</v>
      </c>
      <c r="B152" s="38" t="s">
        <v>184</v>
      </c>
      <c r="C152" s="37" t="s">
        <v>149</v>
      </c>
      <c r="D152" s="75">
        <v>3</v>
      </c>
      <c r="E152" s="75"/>
      <c r="F152" s="75"/>
      <c r="G152" s="75"/>
      <c r="H152" s="88">
        <f t="shared" si="5"/>
        <v>3</v>
      </c>
    </row>
    <row r="153" spans="1:8" ht="25.5" x14ac:dyDescent="0.25">
      <c r="A153" s="7" t="s">
        <v>170</v>
      </c>
      <c r="B153" s="38" t="s">
        <v>185</v>
      </c>
      <c r="C153" s="37" t="s">
        <v>46</v>
      </c>
      <c r="D153" s="75">
        <v>562.79</v>
      </c>
      <c r="E153" s="75"/>
      <c r="F153" s="75"/>
      <c r="G153" s="75"/>
      <c r="H153" s="88">
        <f t="shared" si="5"/>
        <v>562.79</v>
      </c>
    </row>
    <row r="154" spans="1:8" x14ac:dyDescent="0.25">
      <c r="A154" s="7" t="s">
        <v>178</v>
      </c>
      <c r="B154" s="38" t="s">
        <v>186</v>
      </c>
      <c r="C154" s="37" t="s">
        <v>45</v>
      </c>
      <c r="D154" s="75">
        <f>70*0.2</f>
        <v>14</v>
      </c>
      <c r="E154" s="75"/>
      <c r="F154" s="75"/>
      <c r="G154" s="75"/>
      <c r="H154" s="88">
        <f t="shared" si="5"/>
        <v>14</v>
      </c>
    </row>
    <row r="155" spans="1:8" ht="39" thickBot="1" x14ac:dyDescent="0.3">
      <c r="A155" s="103" t="s">
        <v>179</v>
      </c>
      <c r="B155" s="90" t="s">
        <v>187</v>
      </c>
      <c r="C155" s="79" t="s">
        <v>73</v>
      </c>
      <c r="D155" s="80">
        <v>9.75</v>
      </c>
      <c r="E155" s="80"/>
      <c r="F155" s="80"/>
      <c r="G155" s="80"/>
      <c r="H155" s="81">
        <f t="shared" si="5"/>
        <v>9.75</v>
      </c>
    </row>
    <row r="156" spans="1:8" x14ac:dyDescent="0.25">
      <c r="A156" s="53"/>
      <c r="B156" s="95"/>
      <c r="C156" s="54"/>
      <c r="D156" s="86"/>
      <c r="E156" s="86"/>
      <c r="F156" s="86"/>
      <c r="G156" s="86"/>
      <c r="H156" s="55"/>
    </row>
    <row r="157" spans="1:8" x14ac:dyDescent="0.25">
      <c r="A157" s="53"/>
      <c r="B157" s="95"/>
      <c r="C157" s="54"/>
      <c r="D157" s="86"/>
      <c r="E157" s="86"/>
      <c r="F157" s="86"/>
      <c r="G157" s="86"/>
      <c r="H157" s="55"/>
    </row>
    <row r="158" spans="1:8" x14ac:dyDescent="0.25">
      <c r="A158" s="53"/>
      <c r="B158" s="95"/>
      <c r="C158" s="54"/>
      <c r="D158" s="86"/>
      <c r="E158" s="86"/>
      <c r="F158" s="86"/>
      <c r="G158" s="86"/>
      <c r="H158" s="55"/>
    </row>
    <row r="159" spans="1:8" x14ac:dyDescent="0.25">
      <c r="A159" s="53"/>
      <c r="B159" s="95"/>
      <c r="C159" s="54"/>
      <c r="D159" s="86"/>
      <c r="E159" s="86"/>
      <c r="F159" s="86"/>
      <c r="G159" s="86"/>
      <c r="H159" s="55"/>
    </row>
    <row r="160" spans="1:8" x14ac:dyDescent="0.25">
      <c r="A160" s="145" t="s">
        <v>37</v>
      </c>
      <c r="B160" s="145"/>
      <c r="C160" s="145"/>
      <c r="D160" s="145"/>
      <c r="E160" s="145"/>
      <c r="F160" s="145"/>
      <c r="G160" s="145"/>
      <c r="H160" s="145"/>
    </row>
    <row r="161" spans="1:8" x14ac:dyDescent="0.25">
      <c r="A161" s="146" t="s">
        <v>96</v>
      </c>
      <c r="B161" s="146"/>
      <c r="C161" s="146"/>
      <c r="D161" s="146"/>
      <c r="E161" s="146"/>
      <c r="F161" s="146"/>
      <c r="G161" s="146"/>
      <c r="H161" s="146"/>
    </row>
  </sheetData>
  <mergeCells count="83">
    <mergeCell ref="D94:G94"/>
    <mergeCell ref="D79:G79"/>
    <mergeCell ref="C74:C79"/>
    <mergeCell ref="B74:B79"/>
    <mergeCell ref="A74:A79"/>
    <mergeCell ref="D91:G91"/>
    <mergeCell ref="C88:C91"/>
    <mergeCell ref="B88:B91"/>
    <mergeCell ref="A88:A91"/>
    <mergeCell ref="A1:H1"/>
    <mergeCell ref="A2:H2"/>
    <mergeCell ref="A160:H160"/>
    <mergeCell ref="A161:H161"/>
    <mergeCell ref="A4:H4"/>
    <mergeCell ref="A3:H3"/>
    <mergeCell ref="A7:H7"/>
    <mergeCell ref="D12:G12"/>
    <mergeCell ref="C10:C12"/>
    <mergeCell ref="B10:B12"/>
    <mergeCell ref="A10:A12"/>
    <mergeCell ref="A92:A94"/>
    <mergeCell ref="B92:B94"/>
    <mergeCell ref="C92:C94"/>
    <mergeCell ref="D15:G15"/>
    <mergeCell ref="C13:C15"/>
    <mergeCell ref="B13:B15"/>
    <mergeCell ref="A13:A15"/>
    <mergeCell ref="D23:G23"/>
    <mergeCell ref="C18:C23"/>
    <mergeCell ref="B18:B23"/>
    <mergeCell ref="A18:A23"/>
    <mergeCell ref="D30:G30"/>
    <mergeCell ref="C24:C30"/>
    <mergeCell ref="B24:B30"/>
    <mergeCell ref="A24:A30"/>
    <mergeCell ref="D36:G36"/>
    <mergeCell ref="C31:C36"/>
    <mergeCell ref="B31:B36"/>
    <mergeCell ref="A31:A36"/>
    <mergeCell ref="D41:G41"/>
    <mergeCell ref="C37:C41"/>
    <mergeCell ref="B37:B41"/>
    <mergeCell ref="A37:A41"/>
    <mergeCell ref="D48:G48"/>
    <mergeCell ref="C43:C48"/>
    <mergeCell ref="B43:B48"/>
    <mergeCell ref="A43:A48"/>
    <mergeCell ref="D54:G54"/>
    <mergeCell ref="C49:C54"/>
    <mergeCell ref="B49:B54"/>
    <mergeCell ref="A49:A54"/>
    <mergeCell ref="D60:G60"/>
    <mergeCell ref="C55:C60"/>
    <mergeCell ref="B55:B60"/>
    <mergeCell ref="A55:A60"/>
    <mergeCell ref="D66:G66"/>
    <mergeCell ref="C61:C66"/>
    <mergeCell ref="B61:B66"/>
    <mergeCell ref="A61:A66"/>
    <mergeCell ref="D72:G72"/>
    <mergeCell ref="C68:C72"/>
    <mergeCell ref="B68:B72"/>
    <mergeCell ref="A68:A72"/>
    <mergeCell ref="A95:A97"/>
    <mergeCell ref="B95:B97"/>
    <mergeCell ref="C95:C97"/>
    <mergeCell ref="D97:G97"/>
    <mergeCell ref="A110:A112"/>
    <mergeCell ref="B110:B112"/>
    <mergeCell ref="C110:C112"/>
    <mergeCell ref="D112:G112"/>
    <mergeCell ref="A119:A121"/>
    <mergeCell ref="B119:B121"/>
    <mergeCell ref="C119:C121"/>
    <mergeCell ref="D121:G121"/>
    <mergeCell ref="A113:A115"/>
    <mergeCell ref="B113:B115"/>
    <mergeCell ref="C113:C115"/>
    <mergeCell ref="D115:G115"/>
    <mergeCell ref="A116:A118"/>
    <mergeCell ref="B116:B118"/>
    <mergeCell ref="C116:C118"/>
    <mergeCell ref="D118:G118"/>
  </mergeCells>
  <pageMargins left="0.23622047244094491" right="0.23622047244094491" top="0.55118110236220474" bottom="0.55118110236220474" header="0.31496062992125984" footer="0.31496062992125984"/>
  <pageSetup paperSize="9"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Normal="100" workbookViewId="0">
      <selection activeCell="O21" sqref="O21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3.5703125" style="1" bestFit="1" customWidth="1"/>
    <col min="4" max="4" width="6.7109375" style="1" bestFit="1" customWidth="1"/>
    <col min="5" max="13" width="5.7109375" style="1" customWidth="1"/>
    <col min="14" max="247" width="9.140625" style="1"/>
    <col min="248" max="248" width="9.42578125" style="1" bestFit="1" customWidth="1"/>
    <col min="249" max="249" width="25.85546875" style="1" customWidth="1"/>
    <col min="250" max="250" width="13.7109375" style="1" bestFit="1" customWidth="1"/>
    <col min="251" max="251" width="9.140625" style="1" customWidth="1"/>
    <col min="252" max="252" width="10" style="1" bestFit="1" customWidth="1"/>
    <col min="253" max="253" width="8.28515625" style="1" customWidth="1"/>
    <col min="254" max="254" width="10" style="1" bestFit="1" customWidth="1"/>
    <col min="255" max="255" width="7.5703125" style="1" customWidth="1"/>
    <col min="256" max="256" width="11" style="1" bestFit="1" customWidth="1"/>
    <col min="257" max="257" width="8.28515625" style="1" customWidth="1"/>
    <col min="258" max="258" width="11" style="1" bestFit="1" customWidth="1"/>
    <col min="259" max="259" width="8" style="1" customWidth="1"/>
    <col min="260" max="260" width="11.140625" style="1" customWidth="1"/>
    <col min="261" max="261" width="8.5703125" style="1" customWidth="1"/>
    <col min="262" max="503" width="9.140625" style="1"/>
    <col min="504" max="504" width="9.42578125" style="1" bestFit="1" customWidth="1"/>
    <col min="505" max="505" width="25.85546875" style="1" customWidth="1"/>
    <col min="506" max="506" width="13.7109375" style="1" bestFit="1" customWidth="1"/>
    <col min="507" max="507" width="9.140625" style="1" customWidth="1"/>
    <col min="508" max="508" width="10" style="1" bestFit="1" customWidth="1"/>
    <col min="509" max="509" width="8.28515625" style="1" customWidth="1"/>
    <col min="510" max="510" width="10" style="1" bestFit="1" customWidth="1"/>
    <col min="511" max="511" width="7.5703125" style="1" customWidth="1"/>
    <col min="512" max="512" width="11" style="1" bestFit="1" customWidth="1"/>
    <col min="513" max="513" width="8.28515625" style="1" customWidth="1"/>
    <col min="514" max="514" width="11" style="1" bestFit="1" customWidth="1"/>
    <col min="515" max="515" width="8" style="1" customWidth="1"/>
    <col min="516" max="516" width="11.140625" style="1" customWidth="1"/>
    <col min="517" max="517" width="8.5703125" style="1" customWidth="1"/>
    <col min="518" max="759" width="9.140625" style="1"/>
    <col min="760" max="760" width="9.42578125" style="1" bestFit="1" customWidth="1"/>
    <col min="761" max="761" width="25.85546875" style="1" customWidth="1"/>
    <col min="762" max="762" width="13.7109375" style="1" bestFit="1" customWidth="1"/>
    <col min="763" max="763" width="9.140625" style="1" customWidth="1"/>
    <col min="764" max="764" width="10" style="1" bestFit="1" customWidth="1"/>
    <col min="765" max="765" width="8.28515625" style="1" customWidth="1"/>
    <col min="766" max="766" width="10" style="1" bestFit="1" customWidth="1"/>
    <col min="767" max="767" width="7.5703125" style="1" customWidth="1"/>
    <col min="768" max="768" width="11" style="1" bestFit="1" customWidth="1"/>
    <col min="769" max="769" width="8.28515625" style="1" customWidth="1"/>
    <col min="770" max="770" width="11" style="1" bestFit="1" customWidth="1"/>
    <col min="771" max="771" width="8" style="1" customWidth="1"/>
    <col min="772" max="772" width="11.140625" style="1" customWidth="1"/>
    <col min="773" max="773" width="8.5703125" style="1" customWidth="1"/>
    <col min="774" max="1015" width="9.140625" style="1"/>
    <col min="1016" max="1016" width="9.42578125" style="1" bestFit="1" customWidth="1"/>
    <col min="1017" max="1017" width="25.85546875" style="1" customWidth="1"/>
    <col min="1018" max="1018" width="13.7109375" style="1" bestFit="1" customWidth="1"/>
    <col min="1019" max="1019" width="9.140625" style="1" customWidth="1"/>
    <col min="1020" max="1020" width="10" style="1" bestFit="1" customWidth="1"/>
    <col min="1021" max="1021" width="8.28515625" style="1" customWidth="1"/>
    <col min="1022" max="1022" width="10" style="1" bestFit="1" customWidth="1"/>
    <col min="1023" max="1023" width="7.5703125" style="1" customWidth="1"/>
    <col min="1024" max="1024" width="11" style="1" bestFit="1" customWidth="1"/>
    <col min="1025" max="1025" width="8.28515625" style="1" customWidth="1"/>
    <col min="1026" max="1026" width="11" style="1" bestFit="1" customWidth="1"/>
    <col min="1027" max="1027" width="8" style="1" customWidth="1"/>
    <col min="1028" max="1028" width="11.140625" style="1" customWidth="1"/>
    <col min="1029" max="1029" width="8.5703125" style="1" customWidth="1"/>
    <col min="1030" max="1271" width="9.140625" style="1"/>
    <col min="1272" max="1272" width="9.42578125" style="1" bestFit="1" customWidth="1"/>
    <col min="1273" max="1273" width="25.85546875" style="1" customWidth="1"/>
    <col min="1274" max="1274" width="13.7109375" style="1" bestFit="1" customWidth="1"/>
    <col min="1275" max="1275" width="9.140625" style="1" customWidth="1"/>
    <col min="1276" max="1276" width="10" style="1" bestFit="1" customWidth="1"/>
    <col min="1277" max="1277" width="8.28515625" style="1" customWidth="1"/>
    <col min="1278" max="1278" width="10" style="1" bestFit="1" customWidth="1"/>
    <col min="1279" max="1279" width="7.5703125" style="1" customWidth="1"/>
    <col min="1280" max="1280" width="11" style="1" bestFit="1" customWidth="1"/>
    <col min="1281" max="1281" width="8.28515625" style="1" customWidth="1"/>
    <col min="1282" max="1282" width="11" style="1" bestFit="1" customWidth="1"/>
    <col min="1283" max="1283" width="8" style="1" customWidth="1"/>
    <col min="1284" max="1284" width="11.140625" style="1" customWidth="1"/>
    <col min="1285" max="1285" width="8.5703125" style="1" customWidth="1"/>
    <col min="1286" max="1527" width="9.140625" style="1"/>
    <col min="1528" max="1528" width="9.42578125" style="1" bestFit="1" customWidth="1"/>
    <col min="1529" max="1529" width="25.85546875" style="1" customWidth="1"/>
    <col min="1530" max="1530" width="13.7109375" style="1" bestFit="1" customWidth="1"/>
    <col min="1531" max="1531" width="9.140625" style="1" customWidth="1"/>
    <col min="1532" max="1532" width="10" style="1" bestFit="1" customWidth="1"/>
    <col min="1533" max="1533" width="8.28515625" style="1" customWidth="1"/>
    <col min="1534" max="1534" width="10" style="1" bestFit="1" customWidth="1"/>
    <col min="1535" max="1535" width="7.5703125" style="1" customWidth="1"/>
    <col min="1536" max="1536" width="11" style="1" bestFit="1" customWidth="1"/>
    <col min="1537" max="1537" width="8.28515625" style="1" customWidth="1"/>
    <col min="1538" max="1538" width="11" style="1" bestFit="1" customWidth="1"/>
    <col min="1539" max="1539" width="8" style="1" customWidth="1"/>
    <col min="1540" max="1540" width="11.140625" style="1" customWidth="1"/>
    <col min="1541" max="1541" width="8.5703125" style="1" customWidth="1"/>
    <col min="1542" max="1783" width="9.140625" style="1"/>
    <col min="1784" max="1784" width="9.42578125" style="1" bestFit="1" customWidth="1"/>
    <col min="1785" max="1785" width="25.85546875" style="1" customWidth="1"/>
    <col min="1786" max="1786" width="13.7109375" style="1" bestFit="1" customWidth="1"/>
    <col min="1787" max="1787" width="9.140625" style="1" customWidth="1"/>
    <col min="1788" max="1788" width="10" style="1" bestFit="1" customWidth="1"/>
    <col min="1789" max="1789" width="8.28515625" style="1" customWidth="1"/>
    <col min="1790" max="1790" width="10" style="1" bestFit="1" customWidth="1"/>
    <col min="1791" max="1791" width="7.5703125" style="1" customWidth="1"/>
    <col min="1792" max="1792" width="11" style="1" bestFit="1" customWidth="1"/>
    <col min="1793" max="1793" width="8.28515625" style="1" customWidth="1"/>
    <col min="1794" max="1794" width="11" style="1" bestFit="1" customWidth="1"/>
    <col min="1795" max="1795" width="8" style="1" customWidth="1"/>
    <col min="1796" max="1796" width="11.140625" style="1" customWidth="1"/>
    <col min="1797" max="1797" width="8.5703125" style="1" customWidth="1"/>
    <col min="1798" max="2039" width="9.140625" style="1"/>
    <col min="2040" max="2040" width="9.42578125" style="1" bestFit="1" customWidth="1"/>
    <col min="2041" max="2041" width="25.85546875" style="1" customWidth="1"/>
    <col min="2042" max="2042" width="13.7109375" style="1" bestFit="1" customWidth="1"/>
    <col min="2043" max="2043" width="9.140625" style="1" customWidth="1"/>
    <col min="2044" max="2044" width="10" style="1" bestFit="1" customWidth="1"/>
    <col min="2045" max="2045" width="8.28515625" style="1" customWidth="1"/>
    <col min="2046" max="2046" width="10" style="1" bestFit="1" customWidth="1"/>
    <col min="2047" max="2047" width="7.5703125" style="1" customWidth="1"/>
    <col min="2048" max="2048" width="11" style="1" bestFit="1" customWidth="1"/>
    <col min="2049" max="2049" width="8.28515625" style="1" customWidth="1"/>
    <col min="2050" max="2050" width="11" style="1" bestFit="1" customWidth="1"/>
    <col min="2051" max="2051" width="8" style="1" customWidth="1"/>
    <col min="2052" max="2052" width="11.140625" style="1" customWidth="1"/>
    <col min="2053" max="2053" width="8.5703125" style="1" customWidth="1"/>
    <col min="2054" max="2295" width="9.140625" style="1"/>
    <col min="2296" max="2296" width="9.42578125" style="1" bestFit="1" customWidth="1"/>
    <col min="2297" max="2297" width="25.85546875" style="1" customWidth="1"/>
    <col min="2298" max="2298" width="13.7109375" style="1" bestFit="1" customWidth="1"/>
    <col min="2299" max="2299" width="9.140625" style="1" customWidth="1"/>
    <col min="2300" max="2300" width="10" style="1" bestFit="1" customWidth="1"/>
    <col min="2301" max="2301" width="8.28515625" style="1" customWidth="1"/>
    <col min="2302" max="2302" width="10" style="1" bestFit="1" customWidth="1"/>
    <col min="2303" max="2303" width="7.5703125" style="1" customWidth="1"/>
    <col min="2304" max="2304" width="11" style="1" bestFit="1" customWidth="1"/>
    <col min="2305" max="2305" width="8.28515625" style="1" customWidth="1"/>
    <col min="2306" max="2306" width="11" style="1" bestFit="1" customWidth="1"/>
    <col min="2307" max="2307" width="8" style="1" customWidth="1"/>
    <col min="2308" max="2308" width="11.140625" style="1" customWidth="1"/>
    <col min="2309" max="2309" width="8.5703125" style="1" customWidth="1"/>
    <col min="2310" max="2551" width="9.140625" style="1"/>
    <col min="2552" max="2552" width="9.42578125" style="1" bestFit="1" customWidth="1"/>
    <col min="2553" max="2553" width="25.85546875" style="1" customWidth="1"/>
    <col min="2554" max="2554" width="13.7109375" style="1" bestFit="1" customWidth="1"/>
    <col min="2555" max="2555" width="9.140625" style="1" customWidth="1"/>
    <col min="2556" max="2556" width="10" style="1" bestFit="1" customWidth="1"/>
    <col min="2557" max="2557" width="8.28515625" style="1" customWidth="1"/>
    <col min="2558" max="2558" width="10" style="1" bestFit="1" customWidth="1"/>
    <col min="2559" max="2559" width="7.5703125" style="1" customWidth="1"/>
    <col min="2560" max="2560" width="11" style="1" bestFit="1" customWidth="1"/>
    <col min="2561" max="2561" width="8.28515625" style="1" customWidth="1"/>
    <col min="2562" max="2562" width="11" style="1" bestFit="1" customWidth="1"/>
    <col min="2563" max="2563" width="8" style="1" customWidth="1"/>
    <col min="2564" max="2564" width="11.140625" style="1" customWidth="1"/>
    <col min="2565" max="2565" width="8.5703125" style="1" customWidth="1"/>
    <col min="2566" max="2807" width="9.140625" style="1"/>
    <col min="2808" max="2808" width="9.42578125" style="1" bestFit="1" customWidth="1"/>
    <col min="2809" max="2809" width="25.85546875" style="1" customWidth="1"/>
    <col min="2810" max="2810" width="13.7109375" style="1" bestFit="1" customWidth="1"/>
    <col min="2811" max="2811" width="9.140625" style="1" customWidth="1"/>
    <col min="2812" max="2812" width="10" style="1" bestFit="1" customWidth="1"/>
    <col min="2813" max="2813" width="8.28515625" style="1" customWidth="1"/>
    <col min="2814" max="2814" width="10" style="1" bestFit="1" customWidth="1"/>
    <col min="2815" max="2815" width="7.5703125" style="1" customWidth="1"/>
    <col min="2816" max="2816" width="11" style="1" bestFit="1" customWidth="1"/>
    <col min="2817" max="2817" width="8.28515625" style="1" customWidth="1"/>
    <col min="2818" max="2818" width="11" style="1" bestFit="1" customWidth="1"/>
    <col min="2819" max="2819" width="8" style="1" customWidth="1"/>
    <col min="2820" max="2820" width="11.140625" style="1" customWidth="1"/>
    <col min="2821" max="2821" width="8.5703125" style="1" customWidth="1"/>
    <col min="2822" max="3063" width="9.140625" style="1"/>
    <col min="3064" max="3064" width="9.42578125" style="1" bestFit="1" customWidth="1"/>
    <col min="3065" max="3065" width="25.85546875" style="1" customWidth="1"/>
    <col min="3066" max="3066" width="13.7109375" style="1" bestFit="1" customWidth="1"/>
    <col min="3067" max="3067" width="9.140625" style="1" customWidth="1"/>
    <col min="3068" max="3068" width="10" style="1" bestFit="1" customWidth="1"/>
    <col min="3069" max="3069" width="8.28515625" style="1" customWidth="1"/>
    <col min="3070" max="3070" width="10" style="1" bestFit="1" customWidth="1"/>
    <col min="3071" max="3071" width="7.5703125" style="1" customWidth="1"/>
    <col min="3072" max="3072" width="11" style="1" bestFit="1" customWidth="1"/>
    <col min="3073" max="3073" width="8.28515625" style="1" customWidth="1"/>
    <col min="3074" max="3074" width="11" style="1" bestFit="1" customWidth="1"/>
    <col min="3075" max="3075" width="8" style="1" customWidth="1"/>
    <col min="3076" max="3076" width="11.140625" style="1" customWidth="1"/>
    <col min="3077" max="3077" width="8.5703125" style="1" customWidth="1"/>
    <col min="3078" max="3319" width="9.140625" style="1"/>
    <col min="3320" max="3320" width="9.42578125" style="1" bestFit="1" customWidth="1"/>
    <col min="3321" max="3321" width="25.85546875" style="1" customWidth="1"/>
    <col min="3322" max="3322" width="13.7109375" style="1" bestFit="1" customWidth="1"/>
    <col min="3323" max="3323" width="9.140625" style="1" customWidth="1"/>
    <col min="3324" max="3324" width="10" style="1" bestFit="1" customWidth="1"/>
    <col min="3325" max="3325" width="8.28515625" style="1" customWidth="1"/>
    <col min="3326" max="3326" width="10" style="1" bestFit="1" customWidth="1"/>
    <col min="3327" max="3327" width="7.5703125" style="1" customWidth="1"/>
    <col min="3328" max="3328" width="11" style="1" bestFit="1" customWidth="1"/>
    <col min="3329" max="3329" width="8.28515625" style="1" customWidth="1"/>
    <col min="3330" max="3330" width="11" style="1" bestFit="1" customWidth="1"/>
    <col min="3331" max="3331" width="8" style="1" customWidth="1"/>
    <col min="3332" max="3332" width="11.140625" style="1" customWidth="1"/>
    <col min="3333" max="3333" width="8.5703125" style="1" customWidth="1"/>
    <col min="3334" max="3575" width="9.140625" style="1"/>
    <col min="3576" max="3576" width="9.42578125" style="1" bestFit="1" customWidth="1"/>
    <col min="3577" max="3577" width="25.85546875" style="1" customWidth="1"/>
    <col min="3578" max="3578" width="13.7109375" style="1" bestFit="1" customWidth="1"/>
    <col min="3579" max="3579" width="9.140625" style="1" customWidth="1"/>
    <col min="3580" max="3580" width="10" style="1" bestFit="1" customWidth="1"/>
    <col min="3581" max="3581" width="8.28515625" style="1" customWidth="1"/>
    <col min="3582" max="3582" width="10" style="1" bestFit="1" customWidth="1"/>
    <col min="3583" max="3583" width="7.5703125" style="1" customWidth="1"/>
    <col min="3584" max="3584" width="11" style="1" bestFit="1" customWidth="1"/>
    <col min="3585" max="3585" width="8.28515625" style="1" customWidth="1"/>
    <col min="3586" max="3586" width="11" style="1" bestFit="1" customWidth="1"/>
    <col min="3587" max="3587" width="8" style="1" customWidth="1"/>
    <col min="3588" max="3588" width="11.140625" style="1" customWidth="1"/>
    <col min="3589" max="3589" width="8.5703125" style="1" customWidth="1"/>
    <col min="3590" max="3831" width="9.140625" style="1"/>
    <col min="3832" max="3832" width="9.42578125" style="1" bestFit="1" customWidth="1"/>
    <col min="3833" max="3833" width="25.85546875" style="1" customWidth="1"/>
    <col min="3834" max="3834" width="13.7109375" style="1" bestFit="1" customWidth="1"/>
    <col min="3835" max="3835" width="9.140625" style="1" customWidth="1"/>
    <col min="3836" max="3836" width="10" style="1" bestFit="1" customWidth="1"/>
    <col min="3837" max="3837" width="8.28515625" style="1" customWidth="1"/>
    <col min="3838" max="3838" width="10" style="1" bestFit="1" customWidth="1"/>
    <col min="3839" max="3839" width="7.5703125" style="1" customWidth="1"/>
    <col min="3840" max="3840" width="11" style="1" bestFit="1" customWidth="1"/>
    <col min="3841" max="3841" width="8.28515625" style="1" customWidth="1"/>
    <col min="3842" max="3842" width="11" style="1" bestFit="1" customWidth="1"/>
    <col min="3843" max="3843" width="8" style="1" customWidth="1"/>
    <col min="3844" max="3844" width="11.140625" style="1" customWidth="1"/>
    <col min="3845" max="3845" width="8.5703125" style="1" customWidth="1"/>
    <col min="3846" max="4087" width="9.140625" style="1"/>
    <col min="4088" max="4088" width="9.42578125" style="1" bestFit="1" customWidth="1"/>
    <col min="4089" max="4089" width="25.85546875" style="1" customWidth="1"/>
    <col min="4090" max="4090" width="13.7109375" style="1" bestFit="1" customWidth="1"/>
    <col min="4091" max="4091" width="9.140625" style="1" customWidth="1"/>
    <col min="4092" max="4092" width="10" style="1" bestFit="1" customWidth="1"/>
    <col min="4093" max="4093" width="8.28515625" style="1" customWidth="1"/>
    <col min="4094" max="4094" width="10" style="1" bestFit="1" customWidth="1"/>
    <col min="4095" max="4095" width="7.5703125" style="1" customWidth="1"/>
    <col min="4096" max="4096" width="11" style="1" bestFit="1" customWidth="1"/>
    <col min="4097" max="4097" width="8.28515625" style="1" customWidth="1"/>
    <col min="4098" max="4098" width="11" style="1" bestFit="1" customWidth="1"/>
    <col min="4099" max="4099" width="8" style="1" customWidth="1"/>
    <col min="4100" max="4100" width="11.140625" style="1" customWidth="1"/>
    <col min="4101" max="4101" width="8.5703125" style="1" customWidth="1"/>
    <col min="4102" max="4343" width="9.140625" style="1"/>
    <col min="4344" max="4344" width="9.42578125" style="1" bestFit="1" customWidth="1"/>
    <col min="4345" max="4345" width="25.85546875" style="1" customWidth="1"/>
    <col min="4346" max="4346" width="13.7109375" style="1" bestFit="1" customWidth="1"/>
    <col min="4347" max="4347" width="9.140625" style="1" customWidth="1"/>
    <col min="4348" max="4348" width="10" style="1" bestFit="1" customWidth="1"/>
    <col min="4349" max="4349" width="8.28515625" style="1" customWidth="1"/>
    <col min="4350" max="4350" width="10" style="1" bestFit="1" customWidth="1"/>
    <col min="4351" max="4351" width="7.5703125" style="1" customWidth="1"/>
    <col min="4352" max="4352" width="11" style="1" bestFit="1" customWidth="1"/>
    <col min="4353" max="4353" width="8.28515625" style="1" customWidth="1"/>
    <col min="4354" max="4354" width="11" style="1" bestFit="1" customWidth="1"/>
    <col min="4355" max="4355" width="8" style="1" customWidth="1"/>
    <col min="4356" max="4356" width="11.140625" style="1" customWidth="1"/>
    <col min="4357" max="4357" width="8.5703125" style="1" customWidth="1"/>
    <col min="4358" max="4599" width="9.140625" style="1"/>
    <col min="4600" max="4600" width="9.42578125" style="1" bestFit="1" customWidth="1"/>
    <col min="4601" max="4601" width="25.85546875" style="1" customWidth="1"/>
    <col min="4602" max="4602" width="13.7109375" style="1" bestFit="1" customWidth="1"/>
    <col min="4603" max="4603" width="9.140625" style="1" customWidth="1"/>
    <col min="4604" max="4604" width="10" style="1" bestFit="1" customWidth="1"/>
    <col min="4605" max="4605" width="8.28515625" style="1" customWidth="1"/>
    <col min="4606" max="4606" width="10" style="1" bestFit="1" customWidth="1"/>
    <col min="4607" max="4607" width="7.5703125" style="1" customWidth="1"/>
    <col min="4608" max="4608" width="11" style="1" bestFit="1" customWidth="1"/>
    <col min="4609" max="4609" width="8.28515625" style="1" customWidth="1"/>
    <col min="4610" max="4610" width="11" style="1" bestFit="1" customWidth="1"/>
    <col min="4611" max="4611" width="8" style="1" customWidth="1"/>
    <col min="4612" max="4612" width="11.140625" style="1" customWidth="1"/>
    <col min="4613" max="4613" width="8.5703125" style="1" customWidth="1"/>
    <col min="4614" max="4855" width="9.140625" style="1"/>
    <col min="4856" max="4856" width="9.42578125" style="1" bestFit="1" customWidth="1"/>
    <col min="4857" max="4857" width="25.85546875" style="1" customWidth="1"/>
    <col min="4858" max="4858" width="13.7109375" style="1" bestFit="1" customWidth="1"/>
    <col min="4859" max="4859" width="9.140625" style="1" customWidth="1"/>
    <col min="4860" max="4860" width="10" style="1" bestFit="1" customWidth="1"/>
    <col min="4861" max="4861" width="8.28515625" style="1" customWidth="1"/>
    <col min="4862" max="4862" width="10" style="1" bestFit="1" customWidth="1"/>
    <col min="4863" max="4863" width="7.5703125" style="1" customWidth="1"/>
    <col min="4864" max="4864" width="11" style="1" bestFit="1" customWidth="1"/>
    <col min="4865" max="4865" width="8.28515625" style="1" customWidth="1"/>
    <col min="4866" max="4866" width="11" style="1" bestFit="1" customWidth="1"/>
    <col min="4867" max="4867" width="8" style="1" customWidth="1"/>
    <col min="4868" max="4868" width="11.140625" style="1" customWidth="1"/>
    <col min="4869" max="4869" width="8.5703125" style="1" customWidth="1"/>
    <col min="4870" max="5111" width="9.140625" style="1"/>
    <col min="5112" max="5112" width="9.42578125" style="1" bestFit="1" customWidth="1"/>
    <col min="5113" max="5113" width="25.85546875" style="1" customWidth="1"/>
    <col min="5114" max="5114" width="13.7109375" style="1" bestFit="1" customWidth="1"/>
    <col min="5115" max="5115" width="9.140625" style="1" customWidth="1"/>
    <col min="5116" max="5116" width="10" style="1" bestFit="1" customWidth="1"/>
    <col min="5117" max="5117" width="8.28515625" style="1" customWidth="1"/>
    <col min="5118" max="5118" width="10" style="1" bestFit="1" customWidth="1"/>
    <col min="5119" max="5119" width="7.5703125" style="1" customWidth="1"/>
    <col min="5120" max="5120" width="11" style="1" bestFit="1" customWidth="1"/>
    <col min="5121" max="5121" width="8.28515625" style="1" customWidth="1"/>
    <col min="5122" max="5122" width="11" style="1" bestFit="1" customWidth="1"/>
    <col min="5123" max="5123" width="8" style="1" customWidth="1"/>
    <col min="5124" max="5124" width="11.140625" style="1" customWidth="1"/>
    <col min="5125" max="5125" width="8.5703125" style="1" customWidth="1"/>
    <col min="5126" max="5367" width="9.140625" style="1"/>
    <col min="5368" max="5368" width="9.42578125" style="1" bestFit="1" customWidth="1"/>
    <col min="5369" max="5369" width="25.85546875" style="1" customWidth="1"/>
    <col min="5370" max="5370" width="13.7109375" style="1" bestFit="1" customWidth="1"/>
    <col min="5371" max="5371" width="9.140625" style="1" customWidth="1"/>
    <col min="5372" max="5372" width="10" style="1" bestFit="1" customWidth="1"/>
    <col min="5373" max="5373" width="8.28515625" style="1" customWidth="1"/>
    <col min="5374" max="5374" width="10" style="1" bestFit="1" customWidth="1"/>
    <col min="5375" max="5375" width="7.5703125" style="1" customWidth="1"/>
    <col min="5376" max="5376" width="11" style="1" bestFit="1" customWidth="1"/>
    <col min="5377" max="5377" width="8.28515625" style="1" customWidth="1"/>
    <col min="5378" max="5378" width="11" style="1" bestFit="1" customWidth="1"/>
    <col min="5379" max="5379" width="8" style="1" customWidth="1"/>
    <col min="5380" max="5380" width="11.140625" style="1" customWidth="1"/>
    <col min="5381" max="5381" width="8.5703125" style="1" customWidth="1"/>
    <col min="5382" max="5623" width="9.140625" style="1"/>
    <col min="5624" max="5624" width="9.42578125" style="1" bestFit="1" customWidth="1"/>
    <col min="5625" max="5625" width="25.85546875" style="1" customWidth="1"/>
    <col min="5626" max="5626" width="13.7109375" style="1" bestFit="1" customWidth="1"/>
    <col min="5627" max="5627" width="9.140625" style="1" customWidth="1"/>
    <col min="5628" max="5628" width="10" style="1" bestFit="1" customWidth="1"/>
    <col min="5629" max="5629" width="8.28515625" style="1" customWidth="1"/>
    <col min="5630" max="5630" width="10" style="1" bestFit="1" customWidth="1"/>
    <col min="5631" max="5631" width="7.5703125" style="1" customWidth="1"/>
    <col min="5632" max="5632" width="11" style="1" bestFit="1" customWidth="1"/>
    <col min="5633" max="5633" width="8.28515625" style="1" customWidth="1"/>
    <col min="5634" max="5634" width="11" style="1" bestFit="1" customWidth="1"/>
    <col min="5635" max="5635" width="8" style="1" customWidth="1"/>
    <col min="5636" max="5636" width="11.140625" style="1" customWidth="1"/>
    <col min="5637" max="5637" width="8.5703125" style="1" customWidth="1"/>
    <col min="5638" max="5879" width="9.140625" style="1"/>
    <col min="5880" max="5880" width="9.42578125" style="1" bestFit="1" customWidth="1"/>
    <col min="5881" max="5881" width="25.85546875" style="1" customWidth="1"/>
    <col min="5882" max="5882" width="13.7109375" style="1" bestFit="1" customWidth="1"/>
    <col min="5883" max="5883" width="9.140625" style="1" customWidth="1"/>
    <col min="5884" max="5884" width="10" style="1" bestFit="1" customWidth="1"/>
    <col min="5885" max="5885" width="8.28515625" style="1" customWidth="1"/>
    <col min="5886" max="5886" width="10" style="1" bestFit="1" customWidth="1"/>
    <col min="5887" max="5887" width="7.5703125" style="1" customWidth="1"/>
    <col min="5888" max="5888" width="11" style="1" bestFit="1" customWidth="1"/>
    <col min="5889" max="5889" width="8.28515625" style="1" customWidth="1"/>
    <col min="5890" max="5890" width="11" style="1" bestFit="1" customWidth="1"/>
    <col min="5891" max="5891" width="8" style="1" customWidth="1"/>
    <col min="5892" max="5892" width="11.140625" style="1" customWidth="1"/>
    <col min="5893" max="5893" width="8.5703125" style="1" customWidth="1"/>
    <col min="5894" max="6135" width="9.140625" style="1"/>
    <col min="6136" max="6136" width="9.42578125" style="1" bestFit="1" customWidth="1"/>
    <col min="6137" max="6137" width="25.85546875" style="1" customWidth="1"/>
    <col min="6138" max="6138" width="13.7109375" style="1" bestFit="1" customWidth="1"/>
    <col min="6139" max="6139" width="9.140625" style="1" customWidth="1"/>
    <col min="6140" max="6140" width="10" style="1" bestFit="1" customWidth="1"/>
    <col min="6141" max="6141" width="8.28515625" style="1" customWidth="1"/>
    <col min="6142" max="6142" width="10" style="1" bestFit="1" customWidth="1"/>
    <col min="6143" max="6143" width="7.5703125" style="1" customWidth="1"/>
    <col min="6144" max="6144" width="11" style="1" bestFit="1" customWidth="1"/>
    <col min="6145" max="6145" width="8.28515625" style="1" customWidth="1"/>
    <col min="6146" max="6146" width="11" style="1" bestFit="1" customWidth="1"/>
    <col min="6147" max="6147" width="8" style="1" customWidth="1"/>
    <col min="6148" max="6148" width="11.140625" style="1" customWidth="1"/>
    <col min="6149" max="6149" width="8.5703125" style="1" customWidth="1"/>
    <col min="6150" max="6391" width="9.140625" style="1"/>
    <col min="6392" max="6392" width="9.42578125" style="1" bestFit="1" customWidth="1"/>
    <col min="6393" max="6393" width="25.85546875" style="1" customWidth="1"/>
    <col min="6394" max="6394" width="13.7109375" style="1" bestFit="1" customWidth="1"/>
    <col min="6395" max="6395" width="9.140625" style="1" customWidth="1"/>
    <col min="6396" max="6396" width="10" style="1" bestFit="1" customWidth="1"/>
    <col min="6397" max="6397" width="8.28515625" style="1" customWidth="1"/>
    <col min="6398" max="6398" width="10" style="1" bestFit="1" customWidth="1"/>
    <col min="6399" max="6399" width="7.5703125" style="1" customWidth="1"/>
    <col min="6400" max="6400" width="11" style="1" bestFit="1" customWidth="1"/>
    <col min="6401" max="6401" width="8.28515625" style="1" customWidth="1"/>
    <col min="6402" max="6402" width="11" style="1" bestFit="1" customWidth="1"/>
    <col min="6403" max="6403" width="8" style="1" customWidth="1"/>
    <col min="6404" max="6404" width="11.140625" style="1" customWidth="1"/>
    <col min="6405" max="6405" width="8.5703125" style="1" customWidth="1"/>
    <col min="6406" max="6647" width="9.140625" style="1"/>
    <col min="6648" max="6648" width="9.42578125" style="1" bestFit="1" customWidth="1"/>
    <col min="6649" max="6649" width="25.85546875" style="1" customWidth="1"/>
    <col min="6650" max="6650" width="13.7109375" style="1" bestFit="1" customWidth="1"/>
    <col min="6651" max="6651" width="9.140625" style="1" customWidth="1"/>
    <col min="6652" max="6652" width="10" style="1" bestFit="1" customWidth="1"/>
    <col min="6653" max="6653" width="8.28515625" style="1" customWidth="1"/>
    <col min="6654" max="6654" width="10" style="1" bestFit="1" customWidth="1"/>
    <col min="6655" max="6655" width="7.5703125" style="1" customWidth="1"/>
    <col min="6656" max="6656" width="11" style="1" bestFit="1" customWidth="1"/>
    <col min="6657" max="6657" width="8.28515625" style="1" customWidth="1"/>
    <col min="6658" max="6658" width="11" style="1" bestFit="1" customWidth="1"/>
    <col min="6659" max="6659" width="8" style="1" customWidth="1"/>
    <col min="6660" max="6660" width="11.140625" style="1" customWidth="1"/>
    <col min="6661" max="6661" width="8.5703125" style="1" customWidth="1"/>
    <col min="6662" max="6903" width="9.140625" style="1"/>
    <col min="6904" max="6904" width="9.42578125" style="1" bestFit="1" customWidth="1"/>
    <col min="6905" max="6905" width="25.85546875" style="1" customWidth="1"/>
    <col min="6906" max="6906" width="13.7109375" style="1" bestFit="1" customWidth="1"/>
    <col min="6907" max="6907" width="9.140625" style="1" customWidth="1"/>
    <col min="6908" max="6908" width="10" style="1" bestFit="1" customWidth="1"/>
    <col min="6909" max="6909" width="8.28515625" style="1" customWidth="1"/>
    <col min="6910" max="6910" width="10" style="1" bestFit="1" customWidth="1"/>
    <col min="6911" max="6911" width="7.5703125" style="1" customWidth="1"/>
    <col min="6912" max="6912" width="11" style="1" bestFit="1" customWidth="1"/>
    <col min="6913" max="6913" width="8.28515625" style="1" customWidth="1"/>
    <col min="6914" max="6914" width="11" style="1" bestFit="1" customWidth="1"/>
    <col min="6915" max="6915" width="8" style="1" customWidth="1"/>
    <col min="6916" max="6916" width="11.140625" style="1" customWidth="1"/>
    <col min="6917" max="6917" width="8.5703125" style="1" customWidth="1"/>
    <col min="6918" max="7159" width="9.140625" style="1"/>
    <col min="7160" max="7160" width="9.42578125" style="1" bestFit="1" customWidth="1"/>
    <col min="7161" max="7161" width="25.85546875" style="1" customWidth="1"/>
    <col min="7162" max="7162" width="13.7109375" style="1" bestFit="1" customWidth="1"/>
    <col min="7163" max="7163" width="9.140625" style="1" customWidth="1"/>
    <col min="7164" max="7164" width="10" style="1" bestFit="1" customWidth="1"/>
    <col min="7165" max="7165" width="8.28515625" style="1" customWidth="1"/>
    <col min="7166" max="7166" width="10" style="1" bestFit="1" customWidth="1"/>
    <col min="7167" max="7167" width="7.5703125" style="1" customWidth="1"/>
    <col min="7168" max="7168" width="11" style="1" bestFit="1" customWidth="1"/>
    <col min="7169" max="7169" width="8.28515625" style="1" customWidth="1"/>
    <col min="7170" max="7170" width="11" style="1" bestFit="1" customWidth="1"/>
    <col min="7171" max="7171" width="8" style="1" customWidth="1"/>
    <col min="7172" max="7172" width="11.140625" style="1" customWidth="1"/>
    <col min="7173" max="7173" width="8.5703125" style="1" customWidth="1"/>
    <col min="7174" max="7415" width="9.140625" style="1"/>
    <col min="7416" max="7416" width="9.42578125" style="1" bestFit="1" customWidth="1"/>
    <col min="7417" max="7417" width="25.85546875" style="1" customWidth="1"/>
    <col min="7418" max="7418" width="13.7109375" style="1" bestFit="1" customWidth="1"/>
    <col min="7419" max="7419" width="9.140625" style="1" customWidth="1"/>
    <col min="7420" max="7420" width="10" style="1" bestFit="1" customWidth="1"/>
    <col min="7421" max="7421" width="8.28515625" style="1" customWidth="1"/>
    <col min="7422" max="7422" width="10" style="1" bestFit="1" customWidth="1"/>
    <col min="7423" max="7423" width="7.5703125" style="1" customWidth="1"/>
    <col min="7424" max="7424" width="11" style="1" bestFit="1" customWidth="1"/>
    <col min="7425" max="7425" width="8.28515625" style="1" customWidth="1"/>
    <col min="7426" max="7426" width="11" style="1" bestFit="1" customWidth="1"/>
    <col min="7427" max="7427" width="8" style="1" customWidth="1"/>
    <col min="7428" max="7428" width="11.140625" style="1" customWidth="1"/>
    <col min="7429" max="7429" width="8.5703125" style="1" customWidth="1"/>
    <col min="7430" max="7671" width="9.140625" style="1"/>
    <col min="7672" max="7672" width="9.42578125" style="1" bestFit="1" customWidth="1"/>
    <col min="7673" max="7673" width="25.85546875" style="1" customWidth="1"/>
    <col min="7674" max="7674" width="13.7109375" style="1" bestFit="1" customWidth="1"/>
    <col min="7675" max="7675" width="9.140625" style="1" customWidth="1"/>
    <col min="7676" max="7676" width="10" style="1" bestFit="1" customWidth="1"/>
    <col min="7677" max="7677" width="8.28515625" style="1" customWidth="1"/>
    <col min="7678" max="7678" width="10" style="1" bestFit="1" customWidth="1"/>
    <col min="7679" max="7679" width="7.5703125" style="1" customWidth="1"/>
    <col min="7680" max="7680" width="11" style="1" bestFit="1" customWidth="1"/>
    <col min="7681" max="7681" width="8.28515625" style="1" customWidth="1"/>
    <col min="7682" max="7682" width="11" style="1" bestFit="1" customWidth="1"/>
    <col min="7683" max="7683" width="8" style="1" customWidth="1"/>
    <col min="7684" max="7684" width="11.140625" style="1" customWidth="1"/>
    <col min="7685" max="7685" width="8.5703125" style="1" customWidth="1"/>
    <col min="7686" max="7927" width="9.140625" style="1"/>
    <col min="7928" max="7928" width="9.42578125" style="1" bestFit="1" customWidth="1"/>
    <col min="7929" max="7929" width="25.85546875" style="1" customWidth="1"/>
    <col min="7930" max="7930" width="13.7109375" style="1" bestFit="1" customWidth="1"/>
    <col min="7931" max="7931" width="9.140625" style="1" customWidth="1"/>
    <col min="7932" max="7932" width="10" style="1" bestFit="1" customWidth="1"/>
    <col min="7933" max="7933" width="8.28515625" style="1" customWidth="1"/>
    <col min="7934" max="7934" width="10" style="1" bestFit="1" customWidth="1"/>
    <col min="7935" max="7935" width="7.5703125" style="1" customWidth="1"/>
    <col min="7936" max="7936" width="11" style="1" bestFit="1" customWidth="1"/>
    <col min="7937" max="7937" width="8.28515625" style="1" customWidth="1"/>
    <col min="7938" max="7938" width="11" style="1" bestFit="1" customWidth="1"/>
    <col min="7939" max="7939" width="8" style="1" customWidth="1"/>
    <col min="7940" max="7940" width="11.140625" style="1" customWidth="1"/>
    <col min="7941" max="7941" width="8.5703125" style="1" customWidth="1"/>
    <col min="7942" max="8183" width="9.140625" style="1"/>
    <col min="8184" max="8184" width="9.42578125" style="1" bestFit="1" customWidth="1"/>
    <col min="8185" max="8185" width="25.85546875" style="1" customWidth="1"/>
    <col min="8186" max="8186" width="13.7109375" style="1" bestFit="1" customWidth="1"/>
    <col min="8187" max="8187" width="9.140625" style="1" customWidth="1"/>
    <col min="8188" max="8188" width="10" style="1" bestFit="1" customWidth="1"/>
    <col min="8189" max="8189" width="8.28515625" style="1" customWidth="1"/>
    <col min="8190" max="8190" width="10" style="1" bestFit="1" customWidth="1"/>
    <col min="8191" max="8191" width="7.5703125" style="1" customWidth="1"/>
    <col min="8192" max="8192" width="11" style="1" bestFit="1" customWidth="1"/>
    <col min="8193" max="8193" width="8.28515625" style="1" customWidth="1"/>
    <col min="8194" max="8194" width="11" style="1" bestFit="1" customWidth="1"/>
    <col min="8195" max="8195" width="8" style="1" customWidth="1"/>
    <col min="8196" max="8196" width="11.140625" style="1" customWidth="1"/>
    <col min="8197" max="8197" width="8.5703125" style="1" customWidth="1"/>
    <col min="8198" max="8439" width="9.140625" style="1"/>
    <col min="8440" max="8440" width="9.42578125" style="1" bestFit="1" customWidth="1"/>
    <col min="8441" max="8441" width="25.85546875" style="1" customWidth="1"/>
    <col min="8442" max="8442" width="13.7109375" style="1" bestFit="1" customWidth="1"/>
    <col min="8443" max="8443" width="9.140625" style="1" customWidth="1"/>
    <col min="8444" max="8444" width="10" style="1" bestFit="1" customWidth="1"/>
    <col min="8445" max="8445" width="8.28515625" style="1" customWidth="1"/>
    <col min="8446" max="8446" width="10" style="1" bestFit="1" customWidth="1"/>
    <col min="8447" max="8447" width="7.5703125" style="1" customWidth="1"/>
    <col min="8448" max="8448" width="11" style="1" bestFit="1" customWidth="1"/>
    <col min="8449" max="8449" width="8.28515625" style="1" customWidth="1"/>
    <col min="8450" max="8450" width="11" style="1" bestFit="1" customWidth="1"/>
    <col min="8451" max="8451" width="8" style="1" customWidth="1"/>
    <col min="8452" max="8452" width="11.140625" style="1" customWidth="1"/>
    <col min="8453" max="8453" width="8.5703125" style="1" customWidth="1"/>
    <col min="8454" max="8695" width="9.140625" style="1"/>
    <col min="8696" max="8696" width="9.42578125" style="1" bestFit="1" customWidth="1"/>
    <col min="8697" max="8697" width="25.85546875" style="1" customWidth="1"/>
    <col min="8698" max="8698" width="13.7109375" style="1" bestFit="1" customWidth="1"/>
    <col min="8699" max="8699" width="9.140625" style="1" customWidth="1"/>
    <col min="8700" max="8700" width="10" style="1" bestFit="1" customWidth="1"/>
    <col min="8701" max="8701" width="8.28515625" style="1" customWidth="1"/>
    <col min="8702" max="8702" width="10" style="1" bestFit="1" customWidth="1"/>
    <col min="8703" max="8703" width="7.5703125" style="1" customWidth="1"/>
    <col min="8704" max="8704" width="11" style="1" bestFit="1" customWidth="1"/>
    <col min="8705" max="8705" width="8.28515625" style="1" customWidth="1"/>
    <col min="8706" max="8706" width="11" style="1" bestFit="1" customWidth="1"/>
    <col min="8707" max="8707" width="8" style="1" customWidth="1"/>
    <col min="8708" max="8708" width="11.140625" style="1" customWidth="1"/>
    <col min="8709" max="8709" width="8.5703125" style="1" customWidth="1"/>
    <col min="8710" max="8951" width="9.140625" style="1"/>
    <col min="8952" max="8952" width="9.42578125" style="1" bestFit="1" customWidth="1"/>
    <col min="8953" max="8953" width="25.85546875" style="1" customWidth="1"/>
    <col min="8954" max="8954" width="13.7109375" style="1" bestFit="1" customWidth="1"/>
    <col min="8955" max="8955" width="9.140625" style="1" customWidth="1"/>
    <col min="8956" max="8956" width="10" style="1" bestFit="1" customWidth="1"/>
    <col min="8957" max="8957" width="8.28515625" style="1" customWidth="1"/>
    <col min="8958" max="8958" width="10" style="1" bestFit="1" customWidth="1"/>
    <col min="8959" max="8959" width="7.5703125" style="1" customWidth="1"/>
    <col min="8960" max="8960" width="11" style="1" bestFit="1" customWidth="1"/>
    <col min="8961" max="8961" width="8.28515625" style="1" customWidth="1"/>
    <col min="8962" max="8962" width="11" style="1" bestFit="1" customWidth="1"/>
    <col min="8963" max="8963" width="8" style="1" customWidth="1"/>
    <col min="8964" max="8964" width="11.140625" style="1" customWidth="1"/>
    <col min="8965" max="8965" width="8.5703125" style="1" customWidth="1"/>
    <col min="8966" max="9207" width="9.140625" style="1"/>
    <col min="9208" max="9208" width="9.42578125" style="1" bestFit="1" customWidth="1"/>
    <col min="9209" max="9209" width="25.85546875" style="1" customWidth="1"/>
    <col min="9210" max="9210" width="13.7109375" style="1" bestFit="1" customWidth="1"/>
    <col min="9211" max="9211" width="9.140625" style="1" customWidth="1"/>
    <col min="9212" max="9212" width="10" style="1" bestFit="1" customWidth="1"/>
    <col min="9213" max="9213" width="8.28515625" style="1" customWidth="1"/>
    <col min="9214" max="9214" width="10" style="1" bestFit="1" customWidth="1"/>
    <col min="9215" max="9215" width="7.5703125" style="1" customWidth="1"/>
    <col min="9216" max="9216" width="11" style="1" bestFit="1" customWidth="1"/>
    <col min="9217" max="9217" width="8.28515625" style="1" customWidth="1"/>
    <col min="9218" max="9218" width="11" style="1" bestFit="1" customWidth="1"/>
    <col min="9219" max="9219" width="8" style="1" customWidth="1"/>
    <col min="9220" max="9220" width="11.140625" style="1" customWidth="1"/>
    <col min="9221" max="9221" width="8.5703125" style="1" customWidth="1"/>
    <col min="9222" max="9463" width="9.140625" style="1"/>
    <col min="9464" max="9464" width="9.42578125" style="1" bestFit="1" customWidth="1"/>
    <col min="9465" max="9465" width="25.85546875" style="1" customWidth="1"/>
    <col min="9466" max="9466" width="13.7109375" style="1" bestFit="1" customWidth="1"/>
    <col min="9467" max="9467" width="9.140625" style="1" customWidth="1"/>
    <col min="9468" max="9468" width="10" style="1" bestFit="1" customWidth="1"/>
    <col min="9469" max="9469" width="8.28515625" style="1" customWidth="1"/>
    <col min="9470" max="9470" width="10" style="1" bestFit="1" customWidth="1"/>
    <col min="9471" max="9471" width="7.5703125" style="1" customWidth="1"/>
    <col min="9472" max="9472" width="11" style="1" bestFit="1" customWidth="1"/>
    <col min="9473" max="9473" width="8.28515625" style="1" customWidth="1"/>
    <col min="9474" max="9474" width="11" style="1" bestFit="1" customWidth="1"/>
    <col min="9475" max="9475" width="8" style="1" customWidth="1"/>
    <col min="9476" max="9476" width="11.140625" style="1" customWidth="1"/>
    <col min="9477" max="9477" width="8.5703125" style="1" customWidth="1"/>
    <col min="9478" max="9719" width="9.140625" style="1"/>
    <col min="9720" max="9720" width="9.42578125" style="1" bestFit="1" customWidth="1"/>
    <col min="9721" max="9721" width="25.85546875" style="1" customWidth="1"/>
    <col min="9722" max="9722" width="13.7109375" style="1" bestFit="1" customWidth="1"/>
    <col min="9723" max="9723" width="9.140625" style="1" customWidth="1"/>
    <col min="9724" max="9724" width="10" style="1" bestFit="1" customWidth="1"/>
    <col min="9725" max="9725" width="8.28515625" style="1" customWidth="1"/>
    <col min="9726" max="9726" width="10" style="1" bestFit="1" customWidth="1"/>
    <col min="9727" max="9727" width="7.5703125" style="1" customWidth="1"/>
    <col min="9728" max="9728" width="11" style="1" bestFit="1" customWidth="1"/>
    <col min="9729" max="9729" width="8.28515625" style="1" customWidth="1"/>
    <col min="9730" max="9730" width="11" style="1" bestFit="1" customWidth="1"/>
    <col min="9731" max="9731" width="8" style="1" customWidth="1"/>
    <col min="9732" max="9732" width="11.140625" style="1" customWidth="1"/>
    <col min="9733" max="9733" width="8.5703125" style="1" customWidth="1"/>
    <col min="9734" max="9975" width="9.140625" style="1"/>
    <col min="9976" max="9976" width="9.42578125" style="1" bestFit="1" customWidth="1"/>
    <col min="9977" max="9977" width="25.85546875" style="1" customWidth="1"/>
    <col min="9978" max="9978" width="13.7109375" style="1" bestFit="1" customWidth="1"/>
    <col min="9979" max="9979" width="9.140625" style="1" customWidth="1"/>
    <col min="9980" max="9980" width="10" style="1" bestFit="1" customWidth="1"/>
    <col min="9981" max="9981" width="8.28515625" style="1" customWidth="1"/>
    <col min="9982" max="9982" width="10" style="1" bestFit="1" customWidth="1"/>
    <col min="9983" max="9983" width="7.5703125" style="1" customWidth="1"/>
    <col min="9984" max="9984" width="11" style="1" bestFit="1" customWidth="1"/>
    <col min="9985" max="9985" width="8.28515625" style="1" customWidth="1"/>
    <col min="9986" max="9986" width="11" style="1" bestFit="1" customWidth="1"/>
    <col min="9987" max="9987" width="8" style="1" customWidth="1"/>
    <col min="9988" max="9988" width="11.140625" style="1" customWidth="1"/>
    <col min="9989" max="9989" width="8.5703125" style="1" customWidth="1"/>
    <col min="9990" max="10231" width="9.140625" style="1"/>
    <col min="10232" max="10232" width="9.42578125" style="1" bestFit="1" customWidth="1"/>
    <col min="10233" max="10233" width="25.85546875" style="1" customWidth="1"/>
    <col min="10234" max="10234" width="13.7109375" style="1" bestFit="1" customWidth="1"/>
    <col min="10235" max="10235" width="9.140625" style="1" customWidth="1"/>
    <col min="10236" max="10236" width="10" style="1" bestFit="1" customWidth="1"/>
    <col min="10237" max="10237" width="8.28515625" style="1" customWidth="1"/>
    <col min="10238" max="10238" width="10" style="1" bestFit="1" customWidth="1"/>
    <col min="10239" max="10239" width="7.5703125" style="1" customWidth="1"/>
    <col min="10240" max="10240" width="11" style="1" bestFit="1" customWidth="1"/>
    <col min="10241" max="10241" width="8.28515625" style="1" customWidth="1"/>
    <col min="10242" max="10242" width="11" style="1" bestFit="1" customWidth="1"/>
    <col min="10243" max="10243" width="8" style="1" customWidth="1"/>
    <col min="10244" max="10244" width="11.140625" style="1" customWidth="1"/>
    <col min="10245" max="10245" width="8.5703125" style="1" customWidth="1"/>
    <col min="10246" max="10487" width="9.140625" style="1"/>
    <col min="10488" max="10488" width="9.42578125" style="1" bestFit="1" customWidth="1"/>
    <col min="10489" max="10489" width="25.85546875" style="1" customWidth="1"/>
    <col min="10490" max="10490" width="13.7109375" style="1" bestFit="1" customWidth="1"/>
    <col min="10491" max="10491" width="9.140625" style="1" customWidth="1"/>
    <col min="10492" max="10492" width="10" style="1" bestFit="1" customWidth="1"/>
    <col min="10493" max="10493" width="8.28515625" style="1" customWidth="1"/>
    <col min="10494" max="10494" width="10" style="1" bestFit="1" customWidth="1"/>
    <col min="10495" max="10495" width="7.5703125" style="1" customWidth="1"/>
    <col min="10496" max="10496" width="11" style="1" bestFit="1" customWidth="1"/>
    <col min="10497" max="10497" width="8.28515625" style="1" customWidth="1"/>
    <col min="10498" max="10498" width="11" style="1" bestFit="1" customWidth="1"/>
    <col min="10499" max="10499" width="8" style="1" customWidth="1"/>
    <col min="10500" max="10500" width="11.140625" style="1" customWidth="1"/>
    <col min="10501" max="10501" width="8.5703125" style="1" customWidth="1"/>
    <col min="10502" max="10743" width="9.140625" style="1"/>
    <col min="10744" max="10744" width="9.42578125" style="1" bestFit="1" customWidth="1"/>
    <col min="10745" max="10745" width="25.85546875" style="1" customWidth="1"/>
    <col min="10746" max="10746" width="13.7109375" style="1" bestFit="1" customWidth="1"/>
    <col min="10747" max="10747" width="9.140625" style="1" customWidth="1"/>
    <col min="10748" max="10748" width="10" style="1" bestFit="1" customWidth="1"/>
    <col min="10749" max="10749" width="8.28515625" style="1" customWidth="1"/>
    <col min="10750" max="10750" width="10" style="1" bestFit="1" customWidth="1"/>
    <col min="10751" max="10751" width="7.5703125" style="1" customWidth="1"/>
    <col min="10752" max="10752" width="11" style="1" bestFit="1" customWidth="1"/>
    <col min="10753" max="10753" width="8.28515625" style="1" customWidth="1"/>
    <col min="10754" max="10754" width="11" style="1" bestFit="1" customWidth="1"/>
    <col min="10755" max="10755" width="8" style="1" customWidth="1"/>
    <col min="10756" max="10756" width="11.140625" style="1" customWidth="1"/>
    <col min="10757" max="10757" width="8.5703125" style="1" customWidth="1"/>
    <col min="10758" max="10999" width="9.140625" style="1"/>
    <col min="11000" max="11000" width="9.42578125" style="1" bestFit="1" customWidth="1"/>
    <col min="11001" max="11001" width="25.85546875" style="1" customWidth="1"/>
    <col min="11002" max="11002" width="13.7109375" style="1" bestFit="1" customWidth="1"/>
    <col min="11003" max="11003" width="9.140625" style="1" customWidth="1"/>
    <col min="11004" max="11004" width="10" style="1" bestFit="1" customWidth="1"/>
    <col min="11005" max="11005" width="8.28515625" style="1" customWidth="1"/>
    <col min="11006" max="11006" width="10" style="1" bestFit="1" customWidth="1"/>
    <col min="11007" max="11007" width="7.5703125" style="1" customWidth="1"/>
    <col min="11008" max="11008" width="11" style="1" bestFit="1" customWidth="1"/>
    <col min="11009" max="11009" width="8.28515625" style="1" customWidth="1"/>
    <col min="11010" max="11010" width="11" style="1" bestFit="1" customWidth="1"/>
    <col min="11011" max="11011" width="8" style="1" customWidth="1"/>
    <col min="11012" max="11012" width="11.140625" style="1" customWidth="1"/>
    <col min="11013" max="11013" width="8.5703125" style="1" customWidth="1"/>
    <col min="11014" max="11255" width="9.140625" style="1"/>
    <col min="11256" max="11256" width="9.42578125" style="1" bestFit="1" customWidth="1"/>
    <col min="11257" max="11257" width="25.85546875" style="1" customWidth="1"/>
    <col min="11258" max="11258" width="13.7109375" style="1" bestFit="1" customWidth="1"/>
    <col min="11259" max="11259" width="9.140625" style="1" customWidth="1"/>
    <col min="11260" max="11260" width="10" style="1" bestFit="1" customWidth="1"/>
    <col min="11261" max="11261" width="8.28515625" style="1" customWidth="1"/>
    <col min="11262" max="11262" width="10" style="1" bestFit="1" customWidth="1"/>
    <col min="11263" max="11263" width="7.5703125" style="1" customWidth="1"/>
    <col min="11264" max="11264" width="11" style="1" bestFit="1" customWidth="1"/>
    <col min="11265" max="11265" width="8.28515625" style="1" customWidth="1"/>
    <col min="11266" max="11266" width="11" style="1" bestFit="1" customWidth="1"/>
    <col min="11267" max="11267" width="8" style="1" customWidth="1"/>
    <col min="11268" max="11268" width="11.140625" style="1" customWidth="1"/>
    <col min="11269" max="11269" width="8.5703125" style="1" customWidth="1"/>
    <col min="11270" max="11511" width="9.140625" style="1"/>
    <col min="11512" max="11512" width="9.42578125" style="1" bestFit="1" customWidth="1"/>
    <col min="11513" max="11513" width="25.85546875" style="1" customWidth="1"/>
    <col min="11514" max="11514" width="13.7109375" style="1" bestFit="1" customWidth="1"/>
    <col min="11515" max="11515" width="9.140625" style="1" customWidth="1"/>
    <col min="11516" max="11516" width="10" style="1" bestFit="1" customWidth="1"/>
    <col min="11517" max="11517" width="8.28515625" style="1" customWidth="1"/>
    <col min="11518" max="11518" width="10" style="1" bestFit="1" customWidth="1"/>
    <col min="11519" max="11519" width="7.5703125" style="1" customWidth="1"/>
    <col min="11520" max="11520" width="11" style="1" bestFit="1" customWidth="1"/>
    <col min="11521" max="11521" width="8.28515625" style="1" customWidth="1"/>
    <col min="11522" max="11522" width="11" style="1" bestFit="1" customWidth="1"/>
    <col min="11523" max="11523" width="8" style="1" customWidth="1"/>
    <col min="11524" max="11524" width="11.140625" style="1" customWidth="1"/>
    <col min="11525" max="11525" width="8.5703125" style="1" customWidth="1"/>
    <col min="11526" max="11767" width="9.140625" style="1"/>
    <col min="11768" max="11768" width="9.42578125" style="1" bestFit="1" customWidth="1"/>
    <col min="11769" max="11769" width="25.85546875" style="1" customWidth="1"/>
    <col min="11770" max="11770" width="13.7109375" style="1" bestFit="1" customWidth="1"/>
    <col min="11771" max="11771" width="9.140625" style="1" customWidth="1"/>
    <col min="11772" max="11772" width="10" style="1" bestFit="1" customWidth="1"/>
    <col min="11773" max="11773" width="8.28515625" style="1" customWidth="1"/>
    <col min="11774" max="11774" width="10" style="1" bestFit="1" customWidth="1"/>
    <col min="11775" max="11775" width="7.5703125" style="1" customWidth="1"/>
    <col min="11776" max="11776" width="11" style="1" bestFit="1" customWidth="1"/>
    <col min="11777" max="11777" width="8.28515625" style="1" customWidth="1"/>
    <col min="11778" max="11778" width="11" style="1" bestFit="1" customWidth="1"/>
    <col min="11779" max="11779" width="8" style="1" customWidth="1"/>
    <col min="11780" max="11780" width="11.140625" style="1" customWidth="1"/>
    <col min="11781" max="11781" width="8.5703125" style="1" customWidth="1"/>
    <col min="11782" max="12023" width="9.140625" style="1"/>
    <col min="12024" max="12024" width="9.42578125" style="1" bestFit="1" customWidth="1"/>
    <col min="12025" max="12025" width="25.85546875" style="1" customWidth="1"/>
    <col min="12026" max="12026" width="13.7109375" style="1" bestFit="1" customWidth="1"/>
    <col min="12027" max="12027" width="9.140625" style="1" customWidth="1"/>
    <col min="12028" max="12028" width="10" style="1" bestFit="1" customWidth="1"/>
    <col min="12029" max="12029" width="8.28515625" style="1" customWidth="1"/>
    <col min="12030" max="12030" width="10" style="1" bestFit="1" customWidth="1"/>
    <col min="12031" max="12031" width="7.5703125" style="1" customWidth="1"/>
    <col min="12032" max="12032" width="11" style="1" bestFit="1" customWidth="1"/>
    <col min="12033" max="12033" width="8.28515625" style="1" customWidth="1"/>
    <col min="12034" max="12034" width="11" style="1" bestFit="1" customWidth="1"/>
    <col min="12035" max="12035" width="8" style="1" customWidth="1"/>
    <col min="12036" max="12036" width="11.140625" style="1" customWidth="1"/>
    <col min="12037" max="12037" width="8.5703125" style="1" customWidth="1"/>
    <col min="12038" max="12279" width="9.140625" style="1"/>
    <col min="12280" max="12280" width="9.42578125" style="1" bestFit="1" customWidth="1"/>
    <col min="12281" max="12281" width="25.85546875" style="1" customWidth="1"/>
    <col min="12282" max="12282" width="13.7109375" style="1" bestFit="1" customWidth="1"/>
    <col min="12283" max="12283" width="9.140625" style="1" customWidth="1"/>
    <col min="12284" max="12284" width="10" style="1" bestFit="1" customWidth="1"/>
    <col min="12285" max="12285" width="8.28515625" style="1" customWidth="1"/>
    <col min="12286" max="12286" width="10" style="1" bestFit="1" customWidth="1"/>
    <col min="12287" max="12287" width="7.5703125" style="1" customWidth="1"/>
    <col min="12288" max="12288" width="11" style="1" bestFit="1" customWidth="1"/>
    <col min="12289" max="12289" width="8.28515625" style="1" customWidth="1"/>
    <col min="12290" max="12290" width="11" style="1" bestFit="1" customWidth="1"/>
    <col min="12291" max="12291" width="8" style="1" customWidth="1"/>
    <col min="12292" max="12292" width="11.140625" style="1" customWidth="1"/>
    <col min="12293" max="12293" width="8.5703125" style="1" customWidth="1"/>
    <col min="12294" max="12535" width="9.140625" style="1"/>
    <col min="12536" max="12536" width="9.42578125" style="1" bestFit="1" customWidth="1"/>
    <col min="12537" max="12537" width="25.85546875" style="1" customWidth="1"/>
    <col min="12538" max="12538" width="13.7109375" style="1" bestFit="1" customWidth="1"/>
    <col min="12539" max="12539" width="9.140625" style="1" customWidth="1"/>
    <col min="12540" max="12540" width="10" style="1" bestFit="1" customWidth="1"/>
    <col min="12541" max="12541" width="8.28515625" style="1" customWidth="1"/>
    <col min="12542" max="12542" width="10" style="1" bestFit="1" customWidth="1"/>
    <col min="12543" max="12543" width="7.5703125" style="1" customWidth="1"/>
    <col min="12544" max="12544" width="11" style="1" bestFit="1" customWidth="1"/>
    <col min="12545" max="12545" width="8.28515625" style="1" customWidth="1"/>
    <col min="12546" max="12546" width="11" style="1" bestFit="1" customWidth="1"/>
    <col min="12547" max="12547" width="8" style="1" customWidth="1"/>
    <col min="12548" max="12548" width="11.140625" style="1" customWidth="1"/>
    <col min="12549" max="12549" width="8.5703125" style="1" customWidth="1"/>
    <col min="12550" max="12791" width="9.140625" style="1"/>
    <col min="12792" max="12792" width="9.42578125" style="1" bestFit="1" customWidth="1"/>
    <col min="12793" max="12793" width="25.85546875" style="1" customWidth="1"/>
    <col min="12794" max="12794" width="13.7109375" style="1" bestFit="1" customWidth="1"/>
    <col min="12795" max="12795" width="9.140625" style="1" customWidth="1"/>
    <col min="12796" max="12796" width="10" style="1" bestFit="1" customWidth="1"/>
    <col min="12797" max="12797" width="8.28515625" style="1" customWidth="1"/>
    <col min="12798" max="12798" width="10" style="1" bestFit="1" customWidth="1"/>
    <col min="12799" max="12799" width="7.5703125" style="1" customWidth="1"/>
    <col min="12800" max="12800" width="11" style="1" bestFit="1" customWidth="1"/>
    <col min="12801" max="12801" width="8.28515625" style="1" customWidth="1"/>
    <col min="12802" max="12802" width="11" style="1" bestFit="1" customWidth="1"/>
    <col min="12803" max="12803" width="8" style="1" customWidth="1"/>
    <col min="12804" max="12804" width="11.140625" style="1" customWidth="1"/>
    <col min="12805" max="12805" width="8.5703125" style="1" customWidth="1"/>
    <col min="12806" max="13047" width="9.140625" style="1"/>
    <col min="13048" max="13048" width="9.42578125" style="1" bestFit="1" customWidth="1"/>
    <col min="13049" max="13049" width="25.85546875" style="1" customWidth="1"/>
    <col min="13050" max="13050" width="13.7109375" style="1" bestFit="1" customWidth="1"/>
    <col min="13051" max="13051" width="9.140625" style="1" customWidth="1"/>
    <col min="13052" max="13052" width="10" style="1" bestFit="1" customWidth="1"/>
    <col min="13053" max="13053" width="8.28515625" style="1" customWidth="1"/>
    <col min="13054" max="13054" width="10" style="1" bestFit="1" customWidth="1"/>
    <col min="13055" max="13055" width="7.5703125" style="1" customWidth="1"/>
    <col min="13056" max="13056" width="11" style="1" bestFit="1" customWidth="1"/>
    <col min="13057" max="13057" width="8.28515625" style="1" customWidth="1"/>
    <col min="13058" max="13058" width="11" style="1" bestFit="1" customWidth="1"/>
    <col min="13059" max="13059" width="8" style="1" customWidth="1"/>
    <col min="13060" max="13060" width="11.140625" style="1" customWidth="1"/>
    <col min="13061" max="13061" width="8.5703125" style="1" customWidth="1"/>
    <col min="13062" max="13303" width="9.140625" style="1"/>
    <col min="13304" max="13304" width="9.42578125" style="1" bestFit="1" customWidth="1"/>
    <col min="13305" max="13305" width="25.85546875" style="1" customWidth="1"/>
    <col min="13306" max="13306" width="13.7109375" style="1" bestFit="1" customWidth="1"/>
    <col min="13307" max="13307" width="9.140625" style="1" customWidth="1"/>
    <col min="13308" max="13308" width="10" style="1" bestFit="1" customWidth="1"/>
    <col min="13309" max="13309" width="8.28515625" style="1" customWidth="1"/>
    <col min="13310" max="13310" width="10" style="1" bestFit="1" customWidth="1"/>
    <col min="13311" max="13311" width="7.5703125" style="1" customWidth="1"/>
    <col min="13312" max="13312" width="11" style="1" bestFit="1" customWidth="1"/>
    <col min="13313" max="13313" width="8.28515625" style="1" customWidth="1"/>
    <col min="13314" max="13314" width="11" style="1" bestFit="1" customWidth="1"/>
    <col min="13315" max="13315" width="8" style="1" customWidth="1"/>
    <col min="13316" max="13316" width="11.140625" style="1" customWidth="1"/>
    <col min="13317" max="13317" width="8.5703125" style="1" customWidth="1"/>
    <col min="13318" max="13559" width="9.140625" style="1"/>
    <col min="13560" max="13560" width="9.42578125" style="1" bestFit="1" customWidth="1"/>
    <col min="13561" max="13561" width="25.85546875" style="1" customWidth="1"/>
    <col min="13562" max="13562" width="13.7109375" style="1" bestFit="1" customWidth="1"/>
    <col min="13563" max="13563" width="9.140625" style="1" customWidth="1"/>
    <col min="13564" max="13564" width="10" style="1" bestFit="1" customWidth="1"/>
    <col min="13565" max="13565" width="8.28515625" style="1" customWidth="1"/>
    <col min="13566" max="13566" width="10" style="1" bestFit="1" customWidth="1"/>
    <col min="13567" max="13567" width="7.5703125" style="1" customWidth="1"/>
    <col min="13568" max="13568" width="11" style="1" bestFit="1" customWidth="1"/>
    <col min="13569" max="13569" width="8.28515625" style="1" customWidth="1"/>
    <col min="13570" max="13570" width="11" style="1" bestFit="1" customWidth="1"/>
    <col min="13571" max="13571" width="8" style="1" customWidth="1"/>
    <col min="13572" max="13572" width="11.140625" style="1" customWidth="1"/>
    <col min="13573" max="13573" width="8.5703125" style="1" customWidth="1"/>
    <col min="13574" max="13815" width="9.140625" style="1"/>
    <col min="13816" max="13816" width="9.42578125" style="1" bestFit="1" customWidth="1"/>
    <col min="13817" max="13817" width="25.85546875" style="1" customWidth="1"/>
    <col min="13818" max="13818" width="13.7109375" style="1" bestFit="1" customWidth="1"/>
    <col min="13819" max="13819" width="9.140625" style="1" customWidth="1"/>
    <col min="13820" max="13820" width="10" style="1" bestFit="1" customWidth="1"/>
    <col min="13821" max="13821" width="8.28515625" style="1" customWidth="1"/>
    <col min="13822" max="13822" width="10" style="1" bestFit="1" customWidth="1"/>
    <col min="13823" max="13823" width="7.5703125" style="1" customWidth="1"/>
    <col min="13824" max="13824" width="11" style="1" bestFit="1" customWidth="1"/>
    <col min="13825" max="13825" width="8.28515625" style="1" customWidth="1"/>
    <col min="13826" max="13826" width="11" style="1" bestFit="1" customWidth="1"/>
    <col min="13827" max="13827" width="8" style="1" customWidth="1"/>
    <col min="13828" max="13828" width="11.140625" style="1" customWidth="1"/>
    <col min="13829" max="13829" width="8.5703125" style="1" customWidth="1"/>
    <col min="13830" max="14071" width="9.140625" style="1"/>
    <col min="14072" max="14072" width="9.42578125" style="1" bestFit="1" customWidth="1"/>
    <col min="14073" max="14073" width="25.85546875" style="1" customWidth="1"/>
    <col min="14074" max="14074" width="13.7109375" style="1" bestFit="1" customWidth="1"/>
    <col min="14075" max="14075" width="9.140625" style="1" customWidth="1"/>
    <col min="14076" max="14076" width="10" style="1" bestFit="1" customWidth="1"/>
    <col min="14077" max="14077" width="8.28515625" style="1" customWidth="1"/>
    <col min="14078" max="14078" width="10" style="1" bestFit="1" customWidth="1"/>
    <col min="14079" max="14079" width="7.5703125" style="1" customWidth="1"/>
    <col min="14080" max="14080" width="11" style="1" bestFit="1" customWidth="1"/>
    <col min="14081" max="14081" width="8.28515625" style="1" customWidth="1"/>
    <col min="14082" max="14082" width="11" style="1" bestFit="1" customWidth="1"/>
    <col min="14083" max="14083" width="8" style="1" customWidth="1"/>
    <col min="14084" max="14084" width="11.140625" style="1" customWidth="1"/>
    <col min="14085" max="14085" width="8.5703125" style="1" customWidth="1"/>
    <col min="14086" max="14327" width="9.140625" style="1"/>
    <col min="14328" max="14328" width="9.42578125" style="1" bestFit="1" customWidth="1"/>
    <col min="14329" max="14329" width="25.85546875" style="1" customWidth="1"/>
    <col min="14330" max="14330" width="13.7109375" style="1" bestFit="1" customWidth="1"/>
    <col min="14331" max="14331" width="9.140625" style="1" customWidth="1"/>
    <col min="14332" max="14332" width="10" style="1" bestFit="1" customWidth="1"/>
    <col min="14333" max="14333" width="8.28515625" style="1" customWidth="1"/>
    <col min="14334" max="14334" width="10" style="1" bestFit="1" customWidth="1"/>
    <col min="14335" max="14335" width="7.5703125" style="1" customWidth="1"/>
    <col min="14336" max="14336" width="11" style="1" bestFit="1" customWidth="1"/>
    <col min="14337" max="14337" width="8.28515625" style="1" customWidth="1"/>
    <col min="14338" max="14338" width="11" style="1" bestFit="1" customWidth="1"/>
    <col min="14339" max="14339" width="8" style="1" customWidth="1"/>
    <col min="14340" max="14340" width="11.140625" style="1" customWidth="1"/>
    <col min="14341" max="14341" width="8.5703125" style="1" customWidth="1"/>
    <col min="14342" max="14583" width="9.140625" style="1"/>
    <col min="14584" max="14584" width="9.42578125" style="1" bestFit="1" customWidth="1"/>
    <col min="14585" max="14585" width="25.85546875" style="1" customWidth="1"/>
    <col min="14586" max="14586" width="13.7109375" style="1" bestFit="1" customWidth="1"/>
    <col min="14587" max="14587" width="9.140625" style="1" customWidth="1"/>
    <col min="14588" max="14588" width="10" style="1" bestFit="1" customWidth="1"/>
    <col min="14589" max="14589" width="8.28515625" style="1" customWidth="1"/>
    <col min="14590" max="14590" width="10" style="1" bestFit="1" customWidth="1"/>
    <col min="14591" max="14591" width="7.5703125" style="1" customWidth="1"/>
    <col min="14592" max="14592" width="11" style="1" bestFit="1" customWidth="1"/>
    <col min="14593" max="14593" width="8.28515625" style="1" customWidth="1"/>
    <col min="14594" max="14594" width="11" style="1" bestFit="1" customWidth="1"/>
    <col min="14595" max="14595" width="8" style="1" customWidth="1"/>
    <col min="14596" max="14596" width="11.140625" style="1" customWidth="1"/>
    <col min="14597" max="14597" width="8.5703125" style="1" customWidth="1"/>
    <col min="14598" max="14839" width="9.140625" style="1"/>
    <col min="14840" max="14840" width="9.42578125" style="1" bestFit="1" customWidth="1"/>
    <col min="14841" max="14841" width="25.85546875" style="1" customWidth="1"/>
    <col min="14842" max="14842" width="13.7109375" style="1" bestFit="1" customWidth="1"/>
    <col min="14843" max="14843" width="9.140625" style="1" customWidth="1"/>
    <col min="14844" max="14844" width="10" style="1" bestFit="1" customWidth="1"/>
    <col min="14845" max="14845" width="8.28515625" style="1" customWidth="1"/>
    <col min="14846" max="14846" width="10" style="1" bestFit="1" customWidth="1"/>
    <col min="14847" max="14847" width="7.5703125" style="1" customWidth="1"/>
    <col min="14848" max="14848" width="11" style="1" bestFit="1" customWidth="1"/>
    <col min="14849" max="14849" width="8.28515625" style="1" customWidth="1"/>
    <col min="14850" max="14850" width="11" style="1" bestFit="1" customWidth="1"/>
    <col min="14851" max="14851" width="8" style="1" customWidth="1"/>
    <col min="14852" max="14852" width="11.140625" style="1" customWidth="1"/>
    <col min="14853" max="14853" width="8.5703125" style="1" customWidth="1"/>
    <col min="14854" max="15095" width="9.140625" style="1"/>
    <col min="15096" max="15096" width="9.42578125" style="1" bestFit="1" customWidth="1"/>
    <col min="15097" max="15097" width="25.85546875" style="1" customWidth="1"/>
    <col min="15098" max="15098" width="13.7109375" style="1" bestFit="1" customWidth="1"/>
    <col min="15099" max="15099" width="9.140625" style="1" customWidth="1"/>
    <col min="15100" max="15100" width="10" style="1" bestFit="1" customWidth="1"/>
    <col min="15101" max="15101" width="8.28515625" style="1" customWidth="1"/>
    <col min="15102" max="15102" width="10" style="1" bestFit="1" customWidth="1"/>
    <col min="15103" max="15103" width="7.5703125" style="1" customWidth="1"/>
    <col min="15104" max="15104" width="11" style="1" bestFit="1" customWidth="1"/>
    <col min="15105" max="15105" width="8.28515625" style="1" customWidth="1"/>
    <col min="15106" max="15106" width="11" style="1" bestFit="1" customWidth="1"/>
    <col min="15107" max="15107" width="8" style="1" customWidth="1"/>
    <col min="15108" max="15108" width="11.140625" style="1" customWidth="1"/>
    <col min="15109" max="15109" width="8.5703125" style="1" customWidth="1"/>
    <col min="15110" max="15351" width="9.140625" style="1"/>
    <col min="15352" max="15352" width="9.42578125" style="1" bestFit="1" customWidth="1"/>
    <col min="15353" max="15353" width="25.85546875" style="1" customWidth="1"/>
    <col min="15354" max="15354" width="13.7109375" style="1" bestFit="1" customWidth="1"/>
    <col min="15355" max="15355" width="9.140625" style="1" customWidth="1"/>
    <col min="15356" max="15356" width="10" style="1" bestFit="1" customWidth="1"/>
    <col min="15357" max="15357" width="8.28515625" style="1" customWidth="1"/>
    <col min="15358" max="15358" width="10" style="1" bestFit="1" customWidth="1"/>
    <col min="15359" max="15359" width="7.5703125" style="1" customWidth="1"/>
    <col min="15360" max="15360" width="11" style="1" bestFit="1" customWidth="1"/>
    <col min="15361" max="15361" width="8.28515625" style="1" customWidth="1"/>
    <col min="15362" max="15362" width="11" style="1" bestFit="1" customWidth="1"/>
    <col min="15363" max="15363" width="8" style="1" customWidth="1"/>
    <col min="15364" max="15364" width="11.140625" style="1" customWidth="1"/>
    <col min="15365" max="15365" width="8.5703125" style="1" customWidth="1"/>
    <col min="15366" max="15607" width="9.140625" style="1"/>
    <col min="15608" max="15608" width="9.42578125" style="1" bestFit="1" customWidth="1"/>
    <col min="15609" max="15609" width="25.85546875" style="1" customWidth="1"/>
    <col min="15610" max="15610" width="13.7109375" style="1" bestFit="1" customWidth="1"/>
    <col min="15611" max="15611" width="9.140625" style="1" customWidth="1"/>
    <col min="15612" max="15612" width="10" style="1" bestFit="1" customWidth="1"/>
    <col min="15613" max="15613" width="8.28515625" style="1" customWidth="1"/>
    <col min="15614" max="15614" width="10" style="1" bestFit="1" customWidth="1"/>
    <col min="15615" max="15615" width="7.5703125" style="1" customWidth="1"/>
    <col min="15616" max="15616" width="11" style="1" bestFit="1" customWidth="1"/>
    <col min="15617" max="15617" width="8.28515625" style="1" customWidth="1"/>
    <col min="15618" max="15618" width="11" style="1" bestFit="1" customWidth="1"/>
    <col min="15619" max="15619" width="8" style="1" customWidth="1"/>
    <col min="15620" max="15620" width="11.140625" style="1" customWidth="1"/>
    <col min="15621" max="15621" width="8.5703125" style="1" customWidth="1"/>
    <col min="15622" max="15863" width="9.140625" style="1"/>
    <col min="15864" max="15864" width="9.42578125" style="1" bestFit="1" customWidth="1"/>
    <col min="15865" max="15865" width="25.85546875" style="1" customWidth="1"/>
    <col min="15866" max="15866" width="13.7109375" style="1" bestFit="1" customWidth="1"/>
    <col min="15867" max="15867" width="9.140625" style="1" customWidth="1"/>
    <col min="15868" max="15868" width="10" style="1" bestFit="1" customWidth="1"/>
    <col min="15869" max="15869" width="8.28515625" style="1" customWidth="1"/>
    <col min="15870" max="15870" width="10" style="1" bestFit="1" customWidth="1"/>
    <col min="15871" max="15871" width="7.5703125" style="1" customWidth="1"/>
    <col min="15872" max="15872" width="11" style="1" bestFit="1" customWidth="1"/>
    <col min="15873" max="15873" width="8.28515625" style="1" customWidth="1"/>
    <col min="15874" max="15874" width="11" style="1" bestFit="1" customWidth="1"/>
    <col min="15875" max="15875" width="8" style="1" customWidth="1"/>
    <col min="15876" max="15876" width="11.140625" style="1" customWidth="1"/>
    <col min="15877" max="15877" width="8.5703125" style="1" customWidth="1"/>
    <col min="15878" max="16119" width="9.140625" style="1"/>
    <col min="16120" max="16120" width="9.42578125" style="1" bestFit="1" customWidth="1"/>
    <col min="16121" max="16121" width="25.85546875" style="1" customWidth="1"/>
    <col min="16122" max="16122" width="13.7109375" style="1" bestFit="1" customWidth="1"/>
    <col min="16123" max="16123" width="9.140625" style="1" customWidth="1"/>
    <col min="16124" max="16124" width="10" style="1" bestFit="1" customWidth="1"/>
    <col min="16125" max="16125" width="8.28515625" style="1" customWidth="1"/>
    <col min="16126" max="16126" width="10" style="1" bestFit="1" customWidth="1"/>
    <col min="16127" max="16127" width="7.5703125" style="1" customWidth="1"/>
    <col min="16128" max="16128" width="11" style="1" bestFit="1" customWidth="1"/>
    <col min="16129" max="16129" width="8.28515625" style="1" customWidth="1"/>
    <col min="16130" max="16130" width="11" style="1" bestFit="1" customWidth="1"/>
    <col min="16131" max="16131" width="8" style="1" customWidth="1"/>
    <col min="16132" max="16132" width="11.140625" style="1" customWidth="1"/>
    <col min="16133" max="16133" width="8.5703125" style="1" customWidth="1"/>
    <col min="16134" max="16384" width="9.140625" style="1"/>
  </cols>
  <sheetData>
    <row r="1" spans="1:13" ht="27" customHeight="1" x14ac:dyDescent="0.2">
      <c r="A1" s="109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ht="23.25" customHeight="1" x14ac:dyDescent="0.2">
      <c r="A2" s="112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15" x14ac:dyDescent="0.2">
      <c r="A3" s="156" t="s">
        <v>38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3" ht="15" customHeight="1" x14ac:dyDescent="0.2">
      <c r="A4" s="159" t="s">
        <v>39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5" x14ac:dyDescent="0.25">
      <c r="A5" s="162" t="s">
        <v>190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2.75" customHeight="1" x14ac:dyDescent="0.2">
      <c r="A6" s="207" t="s">
        <v>0</v>
      </c>
      <c r="B6" s="209" t="s">
        <v>5</v>
      </c>
      <c r="C6" s="211" t="s">
        <v>29</v>
      </c>
      <c r="D6" s="211" t="s">
        <v>6</v>
      </c>
      <c r="E6" s="200" t="s">
        <v>30</v>
      </c>
      <c r="F6" s="201"/>
      <c r="G6" s="201"/>
      <c r="H6" s="201"/>
      <c r="I6" s="201"/>
      <c r="J6" s="201"/>
      <c r="K6" s="201"/>
      <c r="L6" s="201"/>
      <c r="M6" s="202"/>
    </row>
    <row r="7" spans="1:13" x14ac:dyDescent="0.2">
      <c r="A7" s="208"/>
      <c r="B7" s="210"/>
      <c r="C7" s="212"/>
      <c r="D7" s="212"/>
      <c r="E7" s="171" t="s">
        <v>31</v>
      </c>
      <c r="F7" s="172"/>
      <c r="G7" s="237"/>
      <c r="H7" s="171" t="s">
        <v>32</v>
      </c>
      <c r="I7" s="172"/>
      <c r="J7" s="237"/>
      <c r="K7" s="171" t="s">
        <v>189</v>
      </c>
      <c r="L7" s="172"/>
      <c r="M7" s="173"/>
    </row>
    <row r="8" spans="1:13" x14ac:dyDescent="0.2">
      <c r="A8" s="204">
        <v>1</v>
      </c>
      <c r="B8" s="216" t="s">
        <v>26</v>
      </c>
      <c r="C8" s="219">
        <f>P.ORÇAMENTÁRIA!H9</f>
        <v>0</v>
      </c>
      <c r="D8" s="224" t="e">
        <f>C8/$C$23</f>
        <v>#DIV/0!</v>
      </c>
      <c r="E8" s="213">
        <v>1</v>
      </c>
      <c r="F8" s="214"/>
      <c r="G8" s="215"/>
      <c r="H8" s="213"/>
      <c r="I8" s="214"/>
      <c r="J8" s="215"/>
      <c r="K8" s="61"/>
      <c r="L8" s="61"/>
      <c r="M8" s="44"/>
    </row>
    <row r="9" spans="1:13" x14ac:dyDescent="0.2">
      <c r="A9" s="205"/>
      <c r="B9" s="217"/>
      <c r="C9" s="220"/>
      <c r="D9" s="225"/>
      <c r="E9" s="40"/>
      <c r="F9" s="41"/>
      <c r="G9" s="42"/>
      <c r="H9" s="92"/>
      <c r="I9" s="93"/>
      <c r="J9" s="94"/>
      <c r="K9" s="62"/>
      <c r="L9" s="62"/>
      <c r="M9" s="45"/>
    </row>
    <row r="10" spans="1:13" x14ac:dyDescent="0.2">
      <c r="A10" s="206"/>
      <c r="B10" s="218"/>
      <c r="C10" s="221"/>
      <c r="D10" s="226"/>
      <c r="E10" s="165">
        <f>$C$8*E8</f>
        <v>0</v>
      </c>
      <c r="F10" s="166"/>
      <c r="G10" s="167"/>
      <c r="H10" s="168"/>
      <c r="I10" s="169"/>
      <c r="J10" s="170"/>
      <c r="K10" s="165"/>
      <c r="L10" s="166"/>
      <c r="M10" s="233"/>
    </row>
    <row r="11" spans="1:13" x14ac:dyDescent="0.2">
      <c r="A11" s="238">
        <v>2</v>
      </c>
      <c r="B11" s="216" t="s">
        <v>40</v>
      </c>
      <c r="C11" s="219">
        <f>P.ORÇAMENTÁRIA!H36</f>
        <v>0</v>
      </c>
      <c r="D11" s="224" t="e">
        <f>C11/$C$23</f>
        <v>#DIV/0!</v>
      </c>
      <c r="E11" s="213">
        <v>0.5</v>
      </c>
      <c r="F11" s="214"/>
      <c r="G11" s="215"/>
      <c r="H11" s="213">
        <v>0.5</v>
      </c>
      <c r="I11" s="214"/>
      <c r="J11" s="215"/>
      <c r="K11" s="234"/>
      <c r="L11" s="235"/>
      <c r="M11" s="236"/>
    </row>
    <row r="12" spans="1:13" ht="12.75" customHeight="1" x14ac:dyDescent="0.2">
      <c r="A12" s="205"/>
      <c r="B12" s="217"/>
      <c r="C12" s="220"/>
      <c r="D12" s="225"/>
      <c r="E12" s="40"/>
      <c r="F12" s="41"/>
      <c r="G12" s="42"/>
      <c r="H12" s="40"/>
      <c r="I12" s="41"/>
      <c r="J12" s="42"/>
      <c r="K12" s="101"/>
      <c r="L12" s="101"/>
      <c r="M12" s="102"/>
    </row>
    <row r="13" spans="1:13" x14ac:dyDescent="0.2">
      <c r="A13" s="206"/>
      <c r="B13" s="218"/>
      <c r="C13" s="221"/>
      <c r="D13" s="226"/>
      <c r="E13" s="165">
        <f>C11*E11</f>
        <v>0</v>
      </c>
      <c r="F13" s="166"/>
      <c r="G13" s="167"/>
      <c r="H13" s="165">
        <f>C11*H11</f>
        <v>0</v>
      </c>
      <c r="I13" s="166"/>
      <c r="J13" s="167"/>
      <c r="K13" s="168"/>
      <c r="L13" s="169"/>
      <c r="M13" s="222"/>
    </row>
    <row r="14" spans="1:13" x14ac:dyDescent="0.2">
      <c r="A14" s="204">
        <v>3</v>
      </c>
      <c r="B14" s="216" t="s">
        <v>85</v>
      </c>
      <c r="C14" s="219">
        <f>P.ORÇAMENTÁRIA!H42</f>
        <v>0</v>
      </c>
      <c r="D14" s="224" t="e">
        <f>C14/$C$23</f>
        <v>#DIV/0!</v>
      </c>
      <c r="E14" s="227"/>
      <c r="F14" s="228"/>
      <c r="G14" s="229"/>
      <c r="H14" s="213">
        <v>1</v>
      </c>
      <c r="I14" s="214"/>
      <c r="J14" s="215"/>
      <c r="K14" s="234"/>
      <c r="L14" s="235"/>
      <c r="M14" s="236"/>
    </row>
    <row r="15" spans="1:13" x14ac:dyDescent="0.2">
      <c r="A15" s="205"/>
      <c r="B15" s="217"/>
      <c r="C15" s="220"/>
      <c r="D15" s="225"/>
      <c r="E15" s="92"/>
      <c r="F15" s="93"/>
      <c r="G15" s="94"/>
      <c r="H15" s="40"/>
      <c r="I15" s="41"/>
      <c r="J15" s="42"/>
      <c r="K15" s="101"/>
      <c r="L15" s="101"/>
      <c r="M15" s="102"/>
    </row>
    <row r="16" spans="1:13" x14ac:dyDescent="0.2">
      <c r="A16" s="206"/>
      <c r="B16" s="218"/>
      <c r="C16" s="221"/>
      <c r="D16" s="226"/>
      <c r="E16" s="168"/>
      <c r="F16" s="169"/>
      <c r="G16" s="170"/>
      <c r="H16" s="165">
        <f>C14*H14</f>
        <v>0</v>
      </c>
      <c r="I16" s="166"/>
      <c r="J16" s="167"/>
      <c r="K16" s="168"/>
      <c r="L16" s="169"/>
      <c r="M16" s="222"/>
    </row>
    <row r="17" spans="1:13" x14ac:dyDescent="0.2">
      <c r="A17" s="204">
        <v>4</v>
      </c>
      <c r="B17" s="216" t="s">
        <v>99</v>
      </c>
      <c r="C17" s="219">
        <f>P.ORÇAMENTÁRIA!H53</f>
        <v>0</v>
      </c>
      <c r="D17" s="224" t="e">
        <f>C17/$C$23</f>
        <v>#DIV/0!</v>
      </c>
      <c r="E17" s="227">
        <v>1</v>
      </c>
      <c r="F17" s="228"/>
      <c r="G17" s="229"/>
      <c r="H17" s="227"/>
      <c r="I17" s="228"/>
      <c r="J17" s="229"/>
      <c r="K17" s="234"/>
      <c r="L17" s="235"/>
      <c r="M17" s="236"/>
    </row>
    <row r="18" spans="1:13" x14ac:dyDescent="0.2">
      <c r="A18" s="205"/>
      <c r="B18" s="217"/>
      <c r="C18" s="220"/>
      <c r="D18" s="225"/>
      <c r="E18" s="40"/>
      <c r="F18" s="41"/>
      <c r="G18" s="42"/>
      <c r="H18" s="92"/>
      <c r="I18" s="93"/>
      <c r="J18" s="94"/>
      <c r="K18" s="101"/>
      <c r="L18" s="101"/>
      <c r="M18" s="102"/>
    </row>
    <row r="19" spans="1:13" x14ac:dyDescent="0.2">
      <c r="A19" s="206"/>
      <c r="B19" s="218"/>
      <c r="C19" s="221"/>
      <c r="D19" s="226"/>
      <c r="E19" s="165">
        <f>C17*E17</f>
        <v>0</v>
      </c>
      <c r="F19" s="166"/>
      <c r="G19" s="167"/>
      <c r="H19" s="165"/>
      <c r="I19" s="166"/>
      <c r="J19" s="167"/>
      <c r="K19" s="168"/>
      <c r="L19" s="169"/>
      <c r="M19" s="222"/>
    </row>
    <row r="20" spans="1:13" x14ac:dyDescent="0.2">
      <c r="A20" s="204">
        <v>5</v>
      </c>
      <c r="B20" s="216" t="s">
        <v>128</v>
      </c>
      <c r="C20" s="219">
        <f>P.ORÇAMENTÁRIA!H93</f>
        <v>0</v>
      </c>
      <c r="D20" s="224" t="e">
        <f>C20/$C$23</f>
        <v>#DIV/0!</v>
      </c>
      <c r="E20" s="227"/>
      <c r="F20" s="228"/>
      <c r="G20" s="229"/>
      <c r="H20" s="227">
        <v>0.5</v>
      </c>
      <c r="I20" s="228"/>
      <c r="J20" s="229"/>
      <c r="K20" s="230">
        <v>0.5</v>
      </c>
      <c r="L20" s="231"/>
      <c r="M20" s="232"/>
    </row>
    <row r="21" spans="1:13" x14ac:dyDescent="0.2">
      <c r="A21" s="205"/>
      <c r="B21" s="217"/>
      <c r="C21" s="220"/>
      <c r="D21" s="225"/>
      <c r="E21" s="92"/>
      <c r="F21" s="93"/>
      <c r="G21" s="94"/>
      <c r="H21" s="40"/>
      <c r="I21" s="41"/>
      <c r="J21" s="42"/>
      <c r="K21" s="63"/>
      <c r="L21" s="63"/>
      <c r="M21" s="46"/>
    </row>
    <row r="22" spans="1:13" x14ac:dyDescent="0.2">
      <c r="A22" s="206"/>
      <c r="B22" s="218"/>
      <c r="C22" s="221"/>
      <c r="D22" s="226"/>
      <c r="E22" s="165"/>
      <c r="F22" s="166"/>
      <c r="G22" s="167"/>
      <c r="H22" s="165">
        <f>C20*H20</f>
        <v>0</v>
      </c>
      <c r="I22" s="166"/>
      <c r="J22" s="167"/>
      <c r="K22" s="165">
        <f>C20*K20</f>
        <v>0</v>
      </c>
      <c r="L22" s="166"/>
      <c r="M22" s="233"/>
    </row>
    <row r="23" spans="1:13" ht="15" x14ac:dyDescent="0.25">
      <c r="A23" s="174" t="s">
        <v>3</v>
      </c>
      <c r="B23" s="176"/>
      <c r="C23" s="182">
        <f>SUM(C8:C22)</f>
        <v>0</v>
      </c>
      <c r="D23" s="183"/>
      <c r="E23" s="186">
        <f>SUM(E16,E13,E10,E19,E22)</f>
        <v>0</v>
      </c>
      <c r="F23" s="187"/>
      <c r="G23" s="188"/>
      <c r="H23" s="186">
        <f>SUM(H16,H13,H10,H19,H22)</f>
        <v>0</v>
      </c>
      <c r="I23" s="187"/>
      <c r="J23" s="188"/>
      <c r="K23" s="186">
        <f>SUM(K16,K13,K10,K22)</f>
        <v>0</v>
      </c>
      <c r="L23" s="187"/>
      <c r="M23" s="189"/>
    </row>
    <row r="24" spans="1:13" ht="15" x14ac:dyDescent="0.25">
      <c r="A24" s="180"/>
      <c r="B24" s="181"/>
      <c r="C24" s="184" t="e">
        <f>C23/C23</f>
        <v>#DIV/0!</v>
      </c>
      <c r="D24" s="185"/>
      <c r="E24" s="190" t="e">
        <f>E23/$C$23</f>
        <v>#DIV/0!</v>
      </c>
      <c r="F24" s="191"/>
      <c r="G24" s="203"/>
      <c r="H24" s="190" t="e">
        <f>H23/$C$23</f>
        <v>#DIV/0!</v>
      </c>
      <c r="I24" s="191"/>
      <c r="J24" s="203"/>
      <c r="K24" s="190" t="e">
        <f>K23/$C$23</f>
        <v>#DIV/0!</v>
      </c>
      <c r="L24" s="191"/>
      <c r="M24" s="192"/>
    </row>
    <row r="25" spans="1:13" ht="12.75" customHeight="1" x14ac:dyDescent="0.2">
      <c r="A25" s="174" t="s">
        <v>33</v>
      </c>
      <c r="B25" s="175"/>
      <c r="C25" s="175"/>
      <c r="D25" s="176"/>
      <c r="E25" s="196">
        <f>E23</f>
        <v>0</v>
      </c>
      <c r="F25" s="197"/>
      <c r="G25" s="198"/>
      <c r="H25" s="196">
        <f>H23+E25</f>
        <v>0</v>
      </c>
      <c r="I25" s="197"/>
      <c r="J25" s="198"/>
      <c r="K25" s="196">
        <f>H25+K23</f>
        <v>0</v>
      </c>
      <c r="L25" s="197"/>
      <c r="M25" s="223"/>
    </row>
    <row r="26" spans="1:13" ht="12.75" customHeight="1" thickBot="1" x14ac:dyDescent="0.25">
      <c r="A26" s="177"/>
      <c r="B26" s="178"/>
      <c r="C26" s="178"/>
      <c r="D26" s="179"/>
      <c r="E26" s="193" t="e">
        <f>E25/$C$23</f>
        <v>#DIV/0!</v>
      </c>
      <c r="F26" s="194"/>
      <c r="G26" s="199"/>
      <c r="H26" s="193" t="e">
        <f>H25/$C$23</f>
        <v>#DIV/0!</v>
      </c>
      <c r="I26" s="194"/>
      <c r="J26" s="199"/>
      <c r="K26" s="193" t="e">
        <f t="shared" ref="K26" si="0">K25/$C$23</f>
        <v>#DIV/0!</v>
      </c>
      <c r="L26" s="194"/>
      <c r="M26" s="195"/>
    </row>
    <row r="27" spans="1:13" x14ac:dyDescent="0.2">
      <c r="E27" s="43"/>
      <c r="F27" s="43"/>
      <c r="G27" s="43"/>
      <c r="H27" s="43"/>
      <c r="I27" s="43"/>
      <c r="J27" s="43"/>
      <c r="K27" s="43"/>
      <c r="L27" s="43"/>
      <c r="M27" s="43"/>
    </row>
    <row r="30" spans="1:13" ht="12.75" customHeight="1" x14ac:dyDescent="0.2">
      <c r="A30" s="145" t="s">
        <v>37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2.75" customHeight="1" x14ac:dyDescent="0.2">
      <c r="A31" s="146" t="s">
        <v>96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</sheetData>
  <mergeCells count="80">
    <mergeCell ref="H24:J24"/>
    <mergeCell ref="H25:J25"/>
    <mergeCell ref="H26:J26"/>
    <mergeCell ref="H7:J7"/>
    <mergeCell ref="H8:J8"/>
    <mergeCell ref="H10:J10"/>
    <mergeCell ref="H11:J11"/>
    <mergeCell ref="H13:J13"/>
    <mergeCell ref="K10:M10"/>
    <mergeCell ref="A14:A16"/>
    <mergeCell ref="B14:B16"/>
    <mergeCell ref="C14:C16"/>
    <mergeCell ref="D14:D16"/>
    <mergeCell ref="A11:A13"/>
    <mergeCell ref="K13:M13"/>
    <mergeCell ref="K11:M11"/>
    <mergeCell ref="K14:M14"/>
    <mergeCell ref="H14:J14"/>
    <mergeCell ref="H16:J16"/>
    <mergeCell ref="E7:G7"/>
    <mergeCell ref="A20:A22"/>
    <mergeCell ref="B20:B22"/>
    <mergeCell ref="C20:C22"/>
    <mergeCell ref="D20:D22"/>
    <mergeCell ref="E20:G20"/>
    <mergeCell ref="D8:D10"/>
    <mergeCell ref="A17:A19"/>
    <mergeCell ref="B17:B19"/>
    <mergeCell ref="C17:C19"/>
    <mergeCell ref="D17:D19"/>
    <mergeCell ref="E17:G17"/>
    <mergeCell ref="E19:G19"/>
    <mergeCell ref="K25:M25"/>
    <mergeCell ref="B11:B13"/>
    <mergeCell ref="C11:C13"/>
    <mergeCell ref="D11:D13"/>
    <mergeCell ref="E11:G11"/>
    <mergeCell ref="E14:G14"/>
    <mergeCell ref="K20:M20"/>
    <mergeCell ref="E22:G22"/>
    <mergeCell ref="K22:M22"/>
    <mergeCell ref="K17:M17"/>
    <mergeCell ref="K19:M19"/>
    <mergeCell ref="H17:J17"/>
    <mergeCell ref="H19:J19"/>
    <mergeCell ref="H20:J20"/>
    <mergeCell ref="H22:J22"/>
    <mergeCell ref="H23:J23"/>
    <mergeCell ref="K26:M26"/>
    <mergeCell ref="A1:M1"/>
    <mergeCell ref="A2:M2"/>
    <mergeCell ref="E25:G25"/>
    <mergeCell ref="E26:G26"/>
    <mergeCell ref="E6:M6"/>
    <mergeCell ref="E24:G24"/>
    <mergeCell ref="A8:A10"/>
    <mergeCell ref="A6:A7"/>
    <mergeCell ref="B6:B7"/>
    <mergeCell ref="C6:C7"/>
    <mergeCell ref="D6:D7"/>
    <mergeCell ref="E8:G8"/>
    <mergeCell ref="B8:B10"/>
    <mergeCell ref="C8:C10"/>
    <mergeCell ref="K16:M16"/>
    <mergeCell ref="A30:M30"/>
    <mergeCell ref="A31:M31"/>
    <mergeCell ref="A3:M3"/>
    <mergeCell ref="A4:M4"/>
    <mergeCell ref="A5:M5"/>
    <mergeCell ref="E10:G10"/>
    <mergeCell ref="E13:G13"/>
    <mergeCell ref="E16:G16"/>
    <mergeCell ref="K7:M7"/>
    <mergeCell ref="A25:D26"/>
    <mergeCell ref="A23:B24"/>
    <mergeCell ref="C23:D23"/>
    <mergeCell ref="C24:D24"/>
    <mergeCell ref="E23:G23"/>
    <mergeCell ref="K23:M23"/>
    <mergeCell ref="K24:M24"/>
  </mergeCells>
  <pageMargins left="2.5590551181102366" right="7.874015748031496E-2" top="1.1811023622047245" bottom="0.78740157480314965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P.ORÇAMENTÁRIA</vt:lpstr>
      <vt:lpstr>M. CÁLCULO</vt:lpstr>
      <vt:lpstr>CRONOGRAMA</vt:lpstr>
      <vt:lpstr>CRONOGRAMA!Area_de_impressao</vt:lpstr>
      <vt:lpstr>'M. CÁLCULO'!Area_de_impressao</vt:lpstr>
      <vt:lpstr>P.ORÇAMENTÁRIA!Area_de_impressao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2023-09-01T12:51:46Z</cp:lastPrinted>
  <dcterms:created xsi:type="dcterms:W3CDTF">2017-02-23T12:49:41Z</dcterms:created>
  <dcterms:modified xsi:type="dcterms:W3CDTF">2023-10-23T19:47:50Z</dcterms:modified>
</cp:coreProperties>
</file>